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2132" windowHeight="9240" activeTab="0"/>
  </bookViews>
  <sheets>
    <sheet name="sommaire" sheetId="1" r:id="rId1"/>
    <sheet name="1958 et apres" sheetId="2" r:id="rId2"/>
    <sheet name="1951 janvier à juin" sheetId="3" r:id="rId3"/>
    <sheet name="1951 juillet à aout" sheetId="4" r:id="rId4"/>
    <sheet name="1951 septembre à décembre" sheetId="5" r:id="rId5"/>
    <sheet name="1952 janvier à avril" sheetId="6" r:id="rId6"/>
    <sheet name="1952 mai à septembre" sheetId="7" r:id="rId7"/>
    <sheet name="1953" sheetId="8" r:id="rId8"/>
    <sheet name="1954 janvier aout" sheetId="9" r:id="rId9"/>
    <sheet name="1954 septembre décembre" sheetId="10" r:id="rId10"/>
    <sheet name="1955 janvier avril" sheetId="11" r:id="rId11"/>
    <sheet name="1955 mai à décembre" sheetId="12" r:id="rId12"/>
    <sheet name="1956" sheetId="13" r:id="rId13"/>
    <sheet name="1957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<sst xmlns="http://schemas.openxmlformats.org/spreadsheetml/2006/main" count="708" uniqueCount="101">
  <si>
    <t>année naissance</t>
  </si>
  <si>
    <t>années decote calcul2 (age annulation - age départ)</t>
  </si>
  <si>
    <t>taux remplacement final</t>
  </si>
  <si>
    <t>taux remplacement taux plein</t>
  </si>
  <si>
    <t>taux remplacement avant décote</t>
  </si>
  <si>
    <t>année ouverture droit</t>
  </si>
  <si>
    <t>1958 ou postérieure</t>
  </si>
  <si>
    <t>2020 ou postérieure</t>
  </si>
  <si>
    <t>Parametres de base</t>
  </si>
  <si>
    <t>Calcul indicatif votre taux de remplacement personnel</t>
  </si>
  <si>
    <t>Age de départ</t>
  </si>
  <si>
    <t>nombre annuités à l'age de départ</t>
  </si>
  <si>
    <t>taux décote pour 1 an</t>
  </si>
  <si>
    <t>par an</t>
  </si>
  <si>
    <t>du dernier traitement</t>
  </si>
  <si>
    <t>traitement brut</t>
  </si>
  <si>
    <t>certifié classe normale 11eme échelon</t>
  </si>
  <si>
    <t>agrégé classe normale 11eme échelon</t>
  </si>
  <si>
    <t>certifié hors classe 7eme échelon</t>
  </si>
  <si>
    <t>agrégé hors classe dernier échelon</t>
  </si>
  <si>
    <t>pension brute</t>
  </si>
  <si>
    <t>pension nette</t>
  </si>
  <si>
    <t>retenues sur pension 6,90%</t>
  </si>
  <si>
    <t>mgen 3,35%</t>
  </si>
  <si>
    <t>date naissance 1958 ou postérieure</t>
  </si>
  <si>
    <t>années décote effectif(= la valeur la plus réduite  des deux calculs)</t>
  </si>
  <si>
    <t>Snes section académique de Versailles</t>
  </si>
  <si>
    <t>Simulation effet Réforme Retraites</t>
  </si>
  <si>
    <t>pension calcul 1 abattement  au prorata des annuités</t>
  </si>
  <si>
    <t>Les coupes dans le parc de Chantilly ou ce que Monsieur Woerth fait de vos retraites</t>
  </si>
  <si>
    <t>années decote calcul1 (nombre années exigées - nombre années effectives)</t>
  </si>
  <si>
    <t>age ouverture droit 62 ans</t>
  </si>
  <si>
    <t>annuités exigées 41,5</t>
  </si>
  <si>
    <t>age annulation décote 67</t>
  </si>
  <si>
    <t>décote</t>
  </si>
  <si>
    <t>&lt;--à renseigner</t>
  </si>
  <si>
    <t>nombre annuités à 62 ans (âge d'ouverture des droits )</t>
  </si>
  <si>
    <t>age ouverture droit 60 ans</t>
  </si>
  <si>
    <t>annuités exigées 40,75</t>
  </si>
  <si>
    <t>age annulation décote 62 ans 9 mois</t>
  </si>
  <si>
    <t>date naissance 1951 Janvier à Juin</t>
  </si>
  <si>
    <t>nombre annuités à 60 ans (âge d'ouverture des droits )</t>
  </si>
  <si>
    <t>age ouverture droit 60 ans 4 mois</t>
  </si>
  <si>
    <t>age annulation décote 63 ans 1 mois</t>
  </si>
  <si>
    <t>1951 janvier à juin</t>
  </si>
  <si>
    <t>1951 juillet à aout</t>
  </si>
  <si>
    <t>date naissance 1951 Juillet à août</t>
  </si>
  <si>
    <t>nombre annuités à 60 ans 4 mois(âge d'ouverture des droits )</t>
  </si>
  <si>
    <t>date naissance 1951 septembre à décembre</t>
  </si>
  <si>
    <t>age annulation décote 63 ans 4 mois</t>
  </si>
  <si>
    <t>1951 septembre à décembre</t>
  </si>
  <si>
    <t>date naissance 1952 janvier à avril</t>
  </si>
  <si>
    <t>1952 janvier à avril</t>
  </si>
  <si>
    <t>age ouverture droit 60 ans 8 mois</t>
  </si>
  <si>
    <t>annuités exigées 41</t>
  </si>
  <si>
    <t>age annulation décote 63 ans 8 mois</t>
  </si>
  <si>
    <t>nombre annuités à 60 ans 8 mois(âge d'ouverture des droits )</t>
  </si>
  <si>
    <t>date naissance 1952 mai à septembre</t>
  </si>
  <si>
    <t>1952 mai à septembre</t>
  </si>
  <si>
    <t>age annulation décote 63 ans 11 mois</t>
  </si>
  <si>
    <t>date naissance 1953</t>
  </si>
  <si>
    <t>age ouverture droit 61 ans</t>
  </si>
  <si>
    <t>age annulation décote 64 ans 6 mois</t>
  </si>
  <si>
    <t>nombre annuités à 61 ans (âge d'ouverture des droits )</t>
  </si>
  <si>
    <t>annuités exigées 41,25</t>
  </si>
  <si>
    <t>date naissance 1954 janvier aout</t>
  </si>
  <si>
    <t>1954 janvier aout</t>
  </si>
  <si>
    <t>age ouverture droit 61 ans 4 mois</t>
  </si>
  <si>
    <t>age annulation décote 65 ans 1 mois</t>
  </si>
  <si>
    <t>nombre annuités à 61 ans 4 mois (âge d'ouverture des droits )</t>
  </si>
  <si>
    <t>date naissance 1954 septembre décembre</t>
  </si>
  <si>
    <t>1954 septembre décembre</t>
  </si>
  <si>
    <t>age annulation décote 65 ans 4 mois</t>
  </si>
  <si>
    <t>date naissance 1955 janvier avril</t>
  </si>
  <si>
    <t>age ouverture droit 61 ans 8 mois</t>
  </si>
  <si>
    <t>nombre annuités à 61 ans 8 mois (âge d'ouverture des droits )</t>
  </si>
  <si>
    <t>date naissance 1955 mai à décembre</t>
  </si>
  <si>
    <t xml:space="preserve"> 1955 mai à décembre</t>
  </si>
  <si>
    <t>age annulation décote 65 ans 11mois</t>
  </si>
  <si>
    <t>age annulation décote 65 ans 8 mois</t>
  </si>
  <si>
    <t>date naissance 1956</t>
  </si>
  <si>
    <t>age annulation décote 66 ans 6 mois</t>
  </si>
  <si>
    <t>date naissance 1957</t>
  </si>
  <si>
    <t>age annulation décote 66 ans 9 mois</t>
  </si>
  <si>
    <t>Faire le Calcul indicatif votre taux de remplacement personnel</t>
  </si>
  <si>
    <t>les onglets sont classés par ordre chronologique de date de naissance, sauf le premier</t>
  </si>
  <si>
    <t>Sachant que tous les collègues ne parviennent pas au dernier échelon…….</t>
  </si>
  <si>
    <t xml:space="preserve">62 ans -  age à l'entrée dans le métier </t>
  </si>
  <si>
    <t>plus pour les femmes un an par enfant si vous étiez déjà en fonction</t>
  </si>
  <si>
    <t xml:space="preserve">61 ans 8 mois -  age à l'entrée dans le métier </t>
  </si>
  <si>
    <t xml:space="preserve">61 ans 4 mois -  age à l'entrée dans le métier </t>
  </si>
  <si>
    <t xml:space="preserve">61 ans -  age à l'entrée dans le métier </t>
  </si>
  <si>
    <t xml:space="preserve">60 ans 8 mois -  age à l'entrée dans le métier </t>
  </si>
  <si>
    <t xml:space="preserve">60 ans 4 mois -  age à l'entrée dans le métier </t>
  </si>
  <si>
    <t xml:space="preserve">60 ans -  age à l'entrée dans le métier </t>
  </si>
  <si>
    <t>Choisir la feuille de calcul qui correspond à votre date de naissance</t>
  </si>
  <si>
    <t>années décote effectif(= la valeur la plus réduite  des deux calculs ou zéro))</t>
  </si>
  <si>
    <t>Faute d'indication précise la surcote éventuelle n'est pas prise en compte dans le calcul</t>
  </si>
  <si>
    <t>nombre d'annuités à 60 ans</t>
  </si>
  <si>
    <t>taux remplacement=nombre annuités *2% maxi 75% sauf bonifications</t>
  </si>
  <si>
    <r>
      <t xml:space="preserve">Et dans la situation d'avant 2003(réforme Fillon) votre retraite </t>
    </r>
    <r>
      <rPr>
        <b/>
        <u val="single"/>
        <sz val="16"/>
        <rFont val="Arial"/>
        <family val="2"/>
      </rPr>
      <t>à 60 ans</t>
    </r>
    <r>
      <rPr>
        <b/>
        <sz val="16"/>
        <rFont val="Arial"/>
        <family val="2"/>
      </rPr>
      <t xml:space="preserve"> aurait été de….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</si>
</sst>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  <numFmt numFmtId="166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/>
    </xf>
    <xf numFmtId="9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6" fillId="2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9" fontId="1" fillId="5" borderId="0" xfId="0" applyNumberFormat="1" applyFont="1" applyFill="1" applyAlignment="1">
      <alignment/>
    </xf>
    <xf numFmtId="10" fontId="0" fillId="0" borderId="0" xfId="19" applyNumberFormat="1" applyAlignment="1">
      <alignment/>
    </xf>
    <xf numFmtId="10" fontId="3" fillId="2" borderId="0" xfId="0" applyNumberFormat="1" applyFont="1" applyFill="1" applyAlignment="1">
      <alignment/>
    </xf>
    <xf numFmtId="0" fontId="3" fillId="5" borderId="3" xfId="0" applyFont="1" applyFill="1" applyBorder="1" applyAlignment="1" applyProtection="1">
      <alignment/>
      <protection locked="0"/>
    </xf>
    <xf numFmtId="0" fontId="3" fillId="5" borderId="4" xfId="0" applyNumberFormat="1" applyFont="1" applyFill="1" applyBorder="1" applyAlignment="1" applyProtection="1">
      <alignment/>
      <protection locked="0"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/>
    </xf>
    <xf numFmtId="2" fontId="0" fillId="0" borderId="0" xfId="19" applyNumberFormat="1" applyAlignment="1">
      <alignment/>
    </xf>
    <xf numFmtId="10" fontId="0" fillId="0" borderId="0" xfId="19" applyNumberFormat="1" applyAlignment="1">
      <alignment/>
    </xf>
    <xf numFmtId="10" fontId="1" fillId="2" borderId="0" xfId="19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1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8" fontId="1" fillId="0" borderId="0" xfId="0" applyNumberFormat="1" applyFont="1" applyAlignment="1">
      <alignment wrapText="1"/>
    </xf>
    <xf numFmtId="0" fontId="7" fillId="3" borderId="0" xfId="0" applyFont="1" applyFill="1" applyAlignment="1">
      <alignment wrapText="1"/>
    </xf>
    <xf numFmtId="2" fontId="1" fillId="2" borderId="0" xfId="19" applyNumberFormat="1" applyFont="1" applyFill="1" applyAlignment="1">
      <alignment/>
    </xf>
    <xf numFmtId="0" fontId="3" fillId="5" borderId="0" xfId="0" applyFont="1" applyFill="1" applyAlignment="1">
      <alignment wrapText="1"/>
    </xf>
    <xf numFmtId="10" fontId="3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9" sqref="A9"/>
    </sheetView>
  </sheetViews>
  <sheetFormatPr defaultColWidth="11.421875" defaultRowHeight="12.75"/>
  <sheetData>
    <row r="1" ht="17.25">
      <c r="A1" s="6" t="s">
        <v>26</v>
      </c>
    </row>
    <row r="2" ht="17.25">
      <c r="A2" s="6" t="s">
        <v>27</v>
      </c>
    </row>
    <row r="3" ht="12.75">
      <c r="A3" s="1" t="s">
        <v>29</v>
      </c>
    </row>
    <row r="4" spans="1:8" ht="21">
      <c r="A4" s="28" t="s">
        <v>84</v>
      </c>
      <c r="B4" s="21"/>
      <c r="C4" s="21"/>
      <c r="D4" s="21"/>
      <c r="E4" s="21"/>
      <c r="F4" s="21"/>
      <c r="G4" s="21"/>
      <c r="H4" s="21"/>
    </row>
    <row r="5" spans="1:8" ht="17.25">
      <c r="A5" s="15" t="s">
        <v>95</v>
      </c>
      <c r="B5" s="9"/>
      <c r="C5" s="9"/>
      <c r="D5" s="9"/>
      <c r="E5" s="9"/>
      <c r="F5" s="9"/>
      <c r="G5" s="9"/>
      <c r="H5" s="9"/>
    </row>
    <row r="7" spans="1:9" ht="15">
      <c r="A7" s="40" t="s">
        <v>85</v>
      </c>
      <c r="B7" s="8"/>
      <c r="C7" s="8"/>
      <c r="D7" s="8"/>
      <c r="E7" s="8"/>
      <c r="F7" s="8"/>
      <c r="G7" s="8"/>
      <c r="H7" s="8"/>
      <c r="I7" s="8"/>
    </row>
    <row r="9" ht="12.75">
      <c r="A9" s="36" t="s">
        <v>97</v>
      </c>
    </row>
  </sheetData>
  <sheetProtection password="D8FB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4">
      <selection activeCell="B9" sqref="B9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4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70</v>
      </c>
      <c r="C4" s="21"/>
      <c r="D4" s="21"/>
      <c r="E4" s="21"/>
      <c r="F4" s="21"/>
    </row>
    <row r="5" spans="1:6" ht="52.5">
      <c r="A5" t="s">
        <v>0</v>
      </c>
      <c r="B5" s="30" t="s">
        <v>67</v>
      </c>
      <c r="C5" s="30" t="s">
        <v>5</v>
      </c>
      <c r="D5" s="30" t="s">
        <v>32</v>
      </c>
      <c r="E5" s="30" t="s">
        <v>72</v>
      </c>
      <c r="F5" s="30" t="s">
        <v>12</v>
      </c>
    </row>
    <row r="6" spans="1:6" ht="21">
      <c r="A6" s="28" t="s">
        <v>71</v>
      </c>
      <c r="B6" s="20">
        <v>61.33</v>
      </c>
      <c r="C6" s="20">
        <v>2016</v>
      </c>
      <c r="D6" s="20">
        <v>41.5</v>
      </c>
      <c r="E6" s="37">
        <f>65.33</f>
        <v>65.33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51.75">
      <c r="A10" s="17" t="s">
        <v>69</v>
      </c>
      <c r="B10" s="26">
        <v>40</v>
      </c>
      <c r="C10" s="29" t="s">
        <v>35</v>
      </c>
      <c r="D10" s="43" t="s">
        <v>90</v>
      </c>
      <c r="E10" s="43" t="s">
        <v>88</v>
      </c>
    </row>
    <row r="11" spans="1:2" ht="14.25" customHeight="1">
      <c r="A11" s="2" t="s">
        <v>11</v>
      </c>
      <c r="B11" s="1">
        <f>B10+B9-B6</f>
        <v>40.67</v>
      </c>
    </row>
    <row r="12" ht="12.75" hidden="1">
      <c r="B12" s="32">
        <f>B11/D6</f>
        <v>0.9800000000000001</v>
      </c>
    </row>
    <row r="13" spans="1:2" ht="12.75">
      <c r="A13" s="2" t="s">
        <v>28</v>
      </c>
      <c r="B13" s="18">
        <f>IF(B12&gt;1,1,B12)</f>
        <v>0.9800000000000001</v>
      </c>
    </row>
    <row r="14" spans="1:2" ht="12.75">
      <c r="A14" s="2" t="s">
        <v>4</v>
      </c>
      <c r="B14" s="33">
        <f>B7*B13</f>
        <v>0.7350000000000001</v>
      </c>
    </row>
    <row r="15" spans="1:2" ht="26.25">
      <c r="A15" s="2" t="s">
        <v>30</v>
      </c>
      <c r="B15">
        <f>D6-B11</f>
        <v>0.8299999999999983</v>
      </c>
    </row>
    <row r="16" spans="1:2" ht="12.75">
      <c r="A16" s="2" t="s">
        <v>1</v>
      </c>
      <c r="B16" s="39">
        <f>E6-B9</f>
        <v>3.3299999999999983</v>
      </c>
    </row>
    <row r="17" spans="1:2" ht="26.25" hidden="1">
      <c r="A17" s="2" t="s">
        <v>25</v>
      </c>
      <c r="B17" s="3">
        <f>IF(B15&gt;B16,B16,B15)</f>
        <v>0.8299999999999983</v>
      </c>
    </row>
    <row r="18" spans="1:2" ht="26.25">
      <c r="A18" s="2" t="s">
        <v>96</v>
      </c>
      <c r="B18" s="44">
        <f>IF(B17&lt;0,0,B17)</f>
        <v>0.8299999999999983</v>
      </c>
    </row>
    <row r="19" spans="1:4" ht="12.75">
      <c r="A19" s="2" t="s">
        <v>34</v>
      </c>
      <c r="B19" s="34">
        <f>B18*C19</f>
        <v>0.04149999999999992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0.6935000000000002</v>
      </c>
      <c r="C20" s="3" t="s">
        <v>14</v>
      </c>
    </row>
    <row r="21" ht="27.7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2112.9072550000005</v>
      </c>
      <c r="D23" s="10">
        <f>0.069*C23</f>
        <v>145.79060059500006</v>
      </c>
      <c r="E23" s="10">
        <f>C23*0.0335</f>
        <v>70.78239304250002</v>
      </c>
      <c r="F23" s="14">
        <f>C23-D23-E23</f>
        <v>1896.3342613625005</v>
      </c>
    </row>
    <row r="24" spans="1:6" ht="15">
      <c r="A24" s="2" t="s">
        <v>18</v>
      </c>
      <c r="B24" s="12">
        <v>3625.52</v>
      </c>
      <c r="C24" s="10">
        <f>B24*B20</f>
        <v>2514.298120000001</v>
      </c>
      <c r="D24" s="10">
        <f>0.069*C24</f>
        <v>173.48657028000008</v>
      </c>
      <c r="E24" s="10">
        <f>C24*0.0335</f>
        <v>84.22898702000003</v>
      </c>
      <c r="F24" s="14">
        <f>C24-D24-E24</f>
        <v>2256.5825627000004</v>
      </c>
    </row>
    <row r="25" spans="1:6" ht="15">
      <c r="A25" s="2" t="s">
        <v>17</v>
      </c>
      <c r="B25" s="12">
        <v>3801.47</v>
      </c>
      <c r="C25" s="10">
        <f>B25*B20</f>
        <v>2636.3194450000005</v>
      </c>
      <c r="D25" s="10">
        <f>0.069*C25</f>
        <v>181.90604170500006</v>
      </c>
      <c r="E25" s="10">
        <f>C25*0.0335</f>
        <v>88.31670140750002</v>
      </c>
      <c r="F25" s="14">
        <f>C25-D25-E25</f>
        <v>2366.0967018875003</v>
      </c>
    </row>
    <row r="26" spans="1:6" ht="15">
      <c r="A26" s="2" t="s">
        <v>19</v>
      </c>
      <c r="B26" s="12">
        <v>4458.97</v>
      </c>
      <c r="C26" s="10">
        <f>B26*B20</f>
        <v>3092.295695000001</v>
      </c>
      <c r="D26" s="10">
        <f>0.069*C26</f>
        <v>213.3684029550001</v>
      </c>
      <c r="E26" s="10">
        <f>C26*0.0335</f>
        <v>103.59190578250005</v>
      </c>
      <c r="F26" s="14">
        <f>C26-D26-E26</f>
        <v>2775.3353862625013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61.33</v>
      </c>
      <c r="B29">
        <v>30</v>
      </c>
    </row>
    <row r="30" spans="1:2" ht="12.75" hidden="1">
      <c r="A30">
        <v>62</v>
      </c>
      <c r="B30">
        <v>31</v>
      </c>
    </row>
    <row r="31" spans="1:2" ht="12.75" hidden="1">
      <c r="A31">
        <v>63</v>
      </c>
      <c r="B31">
        <v>32</v>
      </c>
    </row>
    <row r="32" spans="1:2" ht="12.75" hidden="1">
      <c r="A32">
        <v>64</v>
      </c>
      <c r="B32">
        <v>33</v>
      </c>
    </row>
    <row r="33" spans="1:2" ht="12.75" hidden="1">
      <c r="A33">
        <v>65</v>
      </c>
      <c r="B33">
        <v>34</v>
      </c>
    </row>
    <row r="34" spans="1:2" ht="12.75" hidden="1">
      <c r="A34">
        <v>66</v>
      </c>
      <c r="B34">
        <v>35</v>
      </c>
    </row>
    <row r="35" spans="1:2" ht="12.75" hidden="1">
      <c r="A35">
        <v>67</v>
      </c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38.67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$A$29:$A$35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3">
      <selection activeCell="B9" sqref="B9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4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73</v>
      </c>
      <c r="C4" s="21"/>
      <c r="D4" s="21"/>
      <c r="E4" s="21"/>
      <c r="F4" s="21"/>
    </row>
    <row r="5" spans="1:6" ht="52.5">
      <c r="A5" t="s">
        <v>0</v>
      </c>
      <c r="B5" s="30" t="s">
        <v>74</v>
      </c>
      <c r="C5" s="30" t="s">
        <v>5</v>
      </c>
      <c r="D5" s="30" t="s">
        <v>32</v>
      </c>
      <c r="E5" s="30" t="s">
        <v>79</v>
      </c>
      <c r="F5" s="30" t="s">
        <v>12</v>
      </c>
    </row>
    <row r="6" spans="1:6" ht="21">
      <c r="A6" s="28" t="s">
        <v>73</v>
      </c>
      <c r="B6" s="20">
        <v>61.66</v>
      </c>
      <c r="C6" s="20">
        <v>2016</v>
      </c>
      <c r="D6" s="20">
        <v>41.5</v>
      </c>
      <c r="E6" s="37">
        <f>65.66</f>
        <v>65.66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75</v>
      </c>
      <c r="B10" s="26">
        <v>40</v>
      </c>
      <c r="C10" s="29" t="s">
        <v>35</v>
      </c>
      <c r="D10" s="43" t="s">
        <v>89</v>
      </c>
      <c r="E10" s="43" t="s">
        <v>88</v>
      </c>
    </row>
    <row r="11" spans="1:2" ht="14.25" customHeight="1">
      <c r="A11" s="2" t="s">
        <v>11</v>
      </c>
      <c r="B11" s="1">
        <f>B10+B9-B6</f>
        <v>41.34</v>
      </c>
    </row>
    <row r="12" ht="12.75" hidden="1">
      <c r="B12" s="32">
        <f>B11/D6</f>
        <v>0.9961445783132531</v>
      </c>
    </row>
    <row r="13" spans="1:2" ht="12.75">
      <c r="A13" s="2" t="s">
        <v>28</v>
      </c>
      <c r="B13" s="18">
        <f>IF(B12&gt;1,1,B12)</f>
        <v>0.9961445783132531</v>
      </c>
    </row>
    <row r="14" spans="1:2" ht="12.75">
      <c r="A14" s="2" t="s">
        <v>4</v>
      </c>
      <c r="B14" s="33">
        <f>B7*B13</f>
        <v>0.7471084337349398</v>
      </c>
    </row>
    <row r="15" spans="1:2" ht="26.25">
      <c r="A15" s="2" t="s">
        <v>30</v>
      </c>
      <c r="B15">
        <f>D6-B11</f>
        <v>0.1599999999999966</v>
      </c>
    </row>
    <row r="16" spans="1:2" ht="12.75">
      <c r="A16" s="2" t="s">
        <v>1</v>
      </c>
      <c r="B16" s="39">
        <f>E6-B9</f>
        <v>2.6599999999999966</v>
      </c>
    </row>
    <row r="17" spans="1:2" ht="26.25" hidden="1">
      <c r="A17" s="2" t="s">
        <v>25</v>
      </c>
      <c r="B17" s="3">
        <f>IF(B15&gt;B16,B16,B15)</f>
        <v>0.1599999999999966</v>
      </c>
    </row>
    <row r="18" spans="1:2" ht="26.25">
      <c r="A18" s="2" t="s">
        <v>96</v>
      </c>
      <c r="B18" s="44">
        <f>IF(B17&lt;0,0,B17)</f>
        <v>0.1599999999999966</v>
      </c>
    </row>
    <row r="19" spans="1:4" ht="12.75">
      <c r="A19" s="2" t="s">
        <v>34</v>
      </c>
      <c r="B19" s="34">
        <f>B18*C19</f>
        <v>0.00799999999999983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0.7391084337349401</v>
      </c>
      <c r="C20" s="3" t="s">
        <v>14</v>
      </c>
    </row>
    <row r="21" ht="25.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2251.863838313254</v>
      </c>
      <c r="D23" s="10">
        <f>0.069*C23</f>
        <v>155.37860484361454</v>
      </c>
      <c r="E23" s="10">
        <f>C23*0.0335</f>
        <v>75.43743858349401</v>
      </c>
      <c r="F23" s="14">
        <f>C23-D23-E23</f>
        <v>2021.0477948861453</v>
      </c>
    </row>
    <row r="24" spans="1:6" ht="15">
      <c r="A24" s="2" t="s">
        <v>18</v>
      </c>
      <c r="B24" s="12">
        <v>3625.52</v>
      </c>
      <c r="C24" s="10">
        <f>B24*B20</f>
        <v>2679.6524086747</v>
      </c>
      <c r="D24" s="10">
        <f>0.069*C24</f>
        <v>184.89601619855432</v>
      </c>
      <c r="E24" s="10">
        <f>C24*0.0335</f>
        <v>89.76835569060245</v>
      </c>
      <c r="F24" s="14">
        <f>C24-D24-E24</f>
        <v>2404.988036785543</v>
      </c>
    </row>
    <row r="25" spans="1:6" ht="15">
      <c r="A25" s="2" t="s">
        <v>17</v>
      </c>
      <c r="B25" s="12">
        <v>3801.47</v>
      </c>
      <c r="C25" s="10">
        <f>B25*B20</f>
        <v>2809.6985375903623</v>
      </c>
      <c r="D25" s="10">
        <f>0.069*C25</f>
        <v>193.869199093735</v>
      </c>
      <c r="E25" s="10">
        <f>C25*0.0335</f>
        <v>94.12490100927714</v>
      </c>
      <c r="F25" s="14">
        <f>C25-D25-E25</f>
        <v>2521.7044374873503</v>
      </c>
    </row>
    <row r="26" spans="1:6" ht="15">
      <c r="A26" s="2" t="s">
        <v>19</v>
      </c>
      <c r="B26" s="12">
        <v>4458.97</v>
      </c>
      <c r="C26" s="10">
        <f>B26*B20</f>
        <v>3295.662332771086</v>
      </c>
      <c r="D26" s="10">
        <f>0.069*C26</f>
        <v>227.40070096120493</v>
      </c>
      <c r="E26" s="10">
        <f>C26*0.0335</f>
        <v>110.40468814783138</v>
      </c>
      <c r="F26" s="14">
        <f>C26-D26-E26</f>
        <v>2957.8569436620496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61.66</v>
      </c>
      <c r="B29">
        <v>30</v>
      </c>
    </row>
    <row r="30" spans="1:2" ht="12.75" hidden="1">
      <c r="A30">
        <v>62</v>
      </c>
      <c r="B30">
        <v>31</v>
      </c>
    </row>
    <row r="31" spans="1:2" ht="12.75" hidden="1">
      <c r="A31">
        <v>63</v>
      </c>
      <c r="B31">
        <v>32</v>
      </c>
    </row>
    <row r="32" spans="1:2" ht="12.75" hidden="1">
      <c r="A32">
        <v>64</v>
      </c>
      <c r="B32">
        <v>33</v>
      </c>
    </row>
    <row r="33" spans="1:2" ht="12.75" hidden="1">
      <c r="A33">
        <v>65</v>
      </c>
      <c r="B33">
        <v>34</v>
      </c>
    </row>
    <row r="34" spans="1:2" ht="12.75" hidden="1">
      <c r="A34">
        <v>66</v>
      </c>
      <c r="B34">
        <v>35</v>
      </c>
    </row>
    <row r="35" spans="1:2" ht="12.75" hidden="1">
      <c r="A35">
        <v>67</v>
      </c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38.34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$A$29:$A$35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9">
      <selection activeCell="B10" sqref="B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5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76</v>
      </c>
      <c r="C4" s="21"/>
      <c r="D4" s="21"/>
      <c r="E4" s="21"/>
      <c r="F4" s="21"/>
    </row>
    <row r="5" spans="1:6" ht="52.5">
      <c r="A5" t="s">
        <v>0</v>
      </c>
      <c r="B5" s="30" t="s">
        <v>74</v>
      </c>
      <c r="C5" s="30" t="s">
        <v>5</v>
      </c>
      <c r="D5" s="30" t="s">
        <v>32</v>
      </c>
      <c r="E5" s="30" t="s">
        <v>78</v>
      </c>
      <c r="F5" s="30" t="s">
        <v>12</v>
      </c>
    </row>
    <row r="6" spans="1:6" ht="21">
      <c r="A6" s="28" t="s">
        <v>77</v>
      </c>
      <c r="B6" s="20">
        <v>61.66</v>
      </c>
      <c r="C6" s="20">
        <v>2017</v>
      </c>
      <c r="D6" s="20">
        <v>41.5</v>
      </c>
      <c r="E6" s="37">
        <f>11/12+65</f>
        <v>65.91666666666667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61.66</v>
      </c>
      <c r="C9" s="29" t="s">
        <v>35</v>
      </c>
    </row>
    <row r="10" spans="1:5" ht="51.75">
      <c r="A10" s="17" t="s">
        <v>75</v>
      </c>
      <c r="B10" s="26">
        <v>38</v>
      </c>
      <c r="C10" s="29" t="s">
        <v>35</v>
      </c>
      <c r="D10" s="43" t="s">
        <v>89</v>
      </c>
      <c r="E10" s="43" t="s">
        <v>88</v>
      </c>
    </row>
    <row r="11" spans="1:2" ht="14.25" customHeight="1">
      <c r="A11" s="2" t="s">
        <v>11</v>
      </c>
      <c r="B11" s="1">
        <f>B10+B9-B6</f>
        <v>38</v>
      </c>
    </row>
    <row r="12" ht="12.75" hidden="1">
      <c r="B12" s="32">
        <f>B11/D6</f>
        <v>0.9156626506024096</v>
      </c>
    </row>
    <row r="13" spans="1:2" ht="12.75">
      <c r="A13" s="2" t="s">
        <v>28</v>
      </c>
      <c r="B13" s="18">
        <f>IF(B12&gt;1,1,B12)</f>
        <v>0.9156626506024096</v>
      </c>
    </row>
    <row r="14" spans="1:2" ht="12.75">
      <c r="A14" s="2" t="s">
        <v>4</v>
      </c>
      <c r="B14" s="33">
        <f>B7*B13</f>
        <v>0.6867469879518072</v>
      </c>
    </row>
    <row r="15" spans="1:2" ht="26.25">
      <c r="A15" s="2" t="s">
        <v>30</v>
      </c>
      <c r="B15">
        <f>D6-B11</f>
        <v>3.5</v>
      </c>
    </row>
    <row r="16" spans="1:2" ht="12.75">
      <c r="A16" s="2" t="s">
        <v>1</v>
      </c>
      <c r="B16" s="39">
        <f>E6-B9</f>
        <v>4.256666666666675</v>
      </c>
    </row>
    <row r="17" spans="1:2" ht="26.25" hidden="1">
      <c r="A17" s="2" t="s">
        <v>25</v>
      </c>
      <c r="B17" s="3">
        <f>IF(B15&gt;B16,B16,B15)</f>
        <v>3.5</v>
      </c>
    </row>
    <row r="18" spans="1:2" ht="26.25">
      <c r="A18" s="2" t="s">
        <v>96</v>
      </c>
      <c r="B18" s="44">
        <f>IF(B17&lt;0,0,B17)</f>
        <v>3.5</v>
      </c>
    </row>
    <row r="19" spans="1:4" ht="12.75">
      <c r="A19" s="2" t="s">
        <v>34</v>
      </c>
      <c r="B19" s="34">
        <f>B18*C19</f>
        <v>0.17500000000000002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0.5117469879518072</v>
      </c>
      <c r="C20" s="3" t="s">
        <v>14</v>
      </c>
    </row>
    <row r="21" ht="27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1559.1549006024095</v>
      </c>
      <c r="D23" s="10">
        <f>0.069*C23</f>
        <v>107.58168814156626</v>
      </c>
      <c r="E23" s="10">
        <f>C23*0.0335</f>
        <v>52.23168917018072</v>
      </c>
      <c r="F23" s="14">
        <f>C23-D23-E23</f>
        <v>1399.3415232906625</v>
      </c>
    </row>
    <row r="24" spans="1:6" ht="15">
      <c r="A24" s="2" t="s">
        <v>18</v>
      </c>
      <c r="B24" s="12">
        <v>3625.52</v>
      </c>
      <c r="C24" s="10">
        <f>B24*B20</f>
        <v>1855.3489397590358</v>
      </c>
      <c r="D24" s="10">
        <f>0.069*C24</f>
        <v>128.01907684337348</v>
      </c>
      <c r="E24" s="10">
        <f>C24*0.0335</f>
        <v>62.1541894819277</v>
      </c>
      <c r="F24" s="14">
        <f>C24-D24-E24</f>
        <v>1665.1756734337346</v>
      </c>
    </row>
    <row r="25" spans="1:6" ht="15">
      <c r="A25" s="2" t="s">
        <v>17</v>
      </c>
      <c r="B25" s="12">
        <v>3801.47</v>
      </c>
      <c r="C25" s="10">
        <f>B25*B20</f>
        <v>1945.3908222891564</v>
      </c>
      <c r="D25" s="10">
        <f>0.069*C25</f>
        <v>134.2319667379518</v>
      </c>
      <c r="E25" s="10">
        <f>C25*0.0335</f>
        <v>65.17059254668675</v>
      </c>
      <c r="F25" s="14">
        <f>C25-D25-E25</f>
        <v>1745.9882630045179</v>
      </c>
    </row>
    <row r="26" spans="1:6" ht="15">
      <c r="A26" s="2" t="s">
        <v>19</v>
      </c>
      <c r="B26" s="12">
        <v>4458.97</v>
      </c>
      <c r="C26" s="10">
        <f>B26*B20</f>
        <v>2281.8644668674697</v>
      </c>
      <c r="D26" s="10">
        <f>0.069*C26</f>
        <v>157.44864821385542</v>
      </c>
      <c r="E26" s="10">
        <f>C26*0.0335</f>
        <v>76.44245964006024</v>
      </c>
      <c r="F26" s="14">
        <f>C26-D26-E26</f>
        <v>2047.973359013554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61.66</v>
      </c>
      <c r="B29">
        <v>30</v>
      </c>
    </row>
    <row r="30" spans="1:2" ht="12.75" hidden="1">
      <c r="A30">
        <v>62</v>
      </c>
      <c r="B30">
        <v>31</v>
      </c>
    </row>
    <row r="31" spans="1:2" ht="12.75" hidden="1">
      <c r="A31">
        <v>63</v>
      </c>
      <c r="B31">
        <v>32</v>
      </c>
    </row>
    <row r="32" spans="1:2" ht="12.75" hidden="1">
      <c r="A32">
        <v>64</v>
      </c>
      <c r="B32">
        <v>33</v>
      </c>
    </row>
    <row r="33" spans="1:2" ht="12.75" hidden="1">
      <c r="A33">
        <v>65</v>
      </c>
      <c r="B33">
        <v>34</v>
      </c>
    </row>
    <row r="34" spans="1:2" ht="12.75" hidden="1">
      <c r="A34">
        <v>66</v>
      </c>
      <c r="B34">
        <v>35</v>
      </c>
    </row>
    <row r="35" spans="1:2" ht="12.75" hidden="1">
      <c r="A35">
        <v>67</v>
      </c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36.34</v>
      </c>
    </row>
    <row r="47" spans="1:2" ht="34.5">
      <c r="A47" s="45" t="s">
        <v>99</v>
      </c>
      <c r="B47" s="46">
        <f>IF(B46*2%&gt;75%,75%,B46*2%)</f>
        <v>0.7268000000000001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2214.3633640000003</v>
      </c>
      <c r="D49" s="10">
        <f>0.069*C49</f>
        <v>152.79107211600004</v>
      </c>
      <c r="E49" s="10">
        <f>C49*0.0335</f>
        <v>74.18117269400001</v>
      </c>
      <c r="F49" s="14">
        <f>C49-D49-E49</f>
        <v>1987.3911191900002</v>
      </c>
    </row>
    <row r="50" spans="1:6" ht="15">
      <c r="A50" s="2" t="s">
        <v>18</v>
      </c>
      <c r="B50" s="12">
        <v>3625.52</v>
      </c>
      <c r="C50" s="10">
        <f>B50*B47</f>
        <v>2635.0279360000004</v>
      </c>
      <c r="D50" s="10">
        <f>0.069*C50</f>
        <v>181.81692758400004</v>
      </c>
      <c r="E50" s="10">
        <f>C50*0.0335</f>
        <v>88.27343585600002</v>
      </c>
      <c r="F50" s="14">
        <f>C50-D50-E50</f>
        <v>2364.9375725600003</v>
      </c>
    </row>
    <row r="51" spans="1:6" ht="15">
      <c r="A51" s="2" t="s">
        <v>17</v>
      </c>
      <c r="B51" s="12">
        <v>3801.47</v>
      </c>
      <c r="C51" s="10">
        <f>B51*B47</f>
        <v>2762.9083960000003</v>
      </c>
      <c r="D51" s="10">
        <f>0.069*C51</f>
        <v>190.64067932400005</v>
      </c>
      <c r="E51" s="10">
        <f>C51*0.0335</f>
        <v>92.55743126600001</v>
      </c>
      <c r="F51" s="14">
        <f>C51-D51-E51</f>
        <v>2479.7102854100003</v>
      </c>
    </row>
    <row r="52" spans="1:6" ht="15">
      <c r="A52" s="2" t="s">
        <v>19</v>
      </c>
      <c r="B52" s="12">
        <v>4458.97</v>
      </c>
      <c r="C52" s="10">
        <f>B52*B47</f>
        <v>3240.779396000001</v>
      </c>
      <c r="D52" s="10">
        <f>0.069*C52</f>
        <v>223.61377832400007</v>
      </c>
      <c r="E52" s="10">
        <f>C52*0.0335</f>
        <v>108.56610976600004</v>
      </c>
      <c r="F52" s="14">
        <f>C52-D52-E52</f>
        <v>2908.5995079100007</v>
      </c>
    </row>
  </sheetData>
  <sheetProtection password="D8FB" sheet="1" objects="1" scenarios="1"/>
  <dataValidations count="2">
    <dataValidation type="list" allowBlank="1" showInputMessage="1" showErrorMessage="1" sqref="B9">
      <formula1>$A$29:$A$35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3">
      <selection activeCell="B9" sqref="B9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3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80</v>
      </c>
      <c r="C4" s="21"/>
      <c r="D4" s="21"/>
      <c r="E4" s="21"/>
      <c r="F4" s="21"/>
    </row>
    <row r="5" spans="1:6" ht="52.5">
      <c r="A5" t="s">
        <v>0</v>
      </c>
      <c r="B5" s="30" t="s">
        <v>31</v>
      </c>
      <c r="C5" s="30" t="s">
        <v>5</v>
      </c>
      <c r="D5" s="30" t="s">
        <v>32</v>
      </c>
      <c r="E5" s="30" t="s">
        <v>81</v>
      </c>
      <c r="F5" s="30" t="s">
        <v>12</v>
      </c>
    </row>
    <row r="6" spans="1:6" ht="21">
      <c r="A6" s="28">
        <v>1956</v>
      </c>
      <c r="B6" s="20">
        <v>62</v>
      </c>
      <c r="C6" s="20">
        <v>2018</v>
      </c>
      <c r="D6" s="20">
        <v>41.5</v>
      </c>
      <c r="E6" s="37">
        <f>66.5</f>
        <v>66.5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36</v>
      </c>
      <c r="B10" s="26">
        <v>40</v>
      </c>
      <c r="C10" s="29" t="s">
        <v>35</v>
      </c>
      <c r="D10" s="43" t="s">
        <v>87</v>
      </c>
      <c r="E10" s="43" t="s">
        <v>88</v>
      </c>
    </row>
    <row r="11" spans="1:2" ht="14.25" customHeight="1">
      <c r="A11" s="2" t="s">
        <v>11</v>
      </c>
      <c r="B11" s="1">
        <f>B10+B9-B6</f>
        <v>41</v>
      </c>
    </row>
    <row r="12" ht="12.75" hidden="1">
      <c r="B12" s="32">
        <f>B11/D6</f>
        <v>0.9879518072289156</v>
      </c>
    </row>
    <row r="13" spans="1:2" ht="12.75">
      <c r="A13" s="2" t="s">
        <v>28</v>
      </c>
      <c r="B13" s="18">
        <f>IF(B12&gt;1,1,B12)</f>
        <v>0.9879518072289156</v>
      </c>
    </row>
    <row r="14" spans="1:2" ht="12.75">
      <c r="A14" s="2" t="s">
        <v>4</v>
      </c>
      <c r="B14" s="33">
        <f>B7*B13</f>
        <v>0.7409638554216867</v>
      </c>
    </row>
    <row r="15" spans="1:2" ht="26.25">
      <c r="A15" s="2" t="s">
        <v>30</v>
      </c>
      <c r="B15">
        <f>D6-B11</f>
        <v>0.5</v>
      </c>
    </row>
    <row r="16" spans="1:2" ht="12.75">
      <c r="A16" s="2" t="s">
        <v>1</v>
      </c>
      <c r="B16" s="39">
        <f>E6-B9</f>
        <v>3.5</v>
      </c>
    </row>
    <row r="17" spans="1:2" ht="26.25" hidden="1">
      <c r="A17" s="2" t="s">
        <v>25</v>
      </c>
      <c r="B17" s="3">
        <f>IF(B15&gt;B16,B16,B15)</f>
        <v>0.5</v>
      </c>
    </row>
    <row r="18" spans="1:2" ht="26.25">
      <c r="A18" s="2" t="s">
        <v>96</v>
      </c>
      <c r="B18" s="44">
        <f>IF(B17&lt;0,0,B17)</f>
        <v>0.5</v>
      </c>
    </row>
    <row r="19" spans="1:4" ht="12.75">
      <c r="A19" s="2" t="s">
        <v>34</v>
      </c>
      <c r="B19" s="34">
        <f>B18*C19</f>
        <v>0.025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0.7159638554216867</v>
      </c>
      <c r="C20" s="3" t="s">
        <v>14</v>
      </c>
    </row>
    <row r="21" ht="27.7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2181.3485572289155</v>
      </c>
      <c r="D23" s="10">
        <f>0.069*C23</f>
        <v>150.51305044879518</v>
      </c>
      <c r="E23" s="10">
        <f>C23*0.0335</f>
        <v>73.07517666716868</v>
      </c>
      <c r="F23" s="14">
        <f>C23-D23-E23</f>
        <v>1957.7603301129516</v>
      </c>
    </row>
    <row r="24" spans="1:6" ht="15">
      <c r="A24" s="2" t="s">
        <v>18</v>
      </c>
      <c r="B24" s="12">
        <v>3625.52</v>
      </c>
      <c r="C24" s="10">
        <f>B24*B20</f>
        <v>2595.7412771084337</v>
      </c>
      <c r="D24" s="10">
        <f>0.069*C24</f>
        <v>179.10614812048195</v>
      </c>
      <c r="E24" s="10">
        <f>C24*0.0335</f>
        <v>86.95733278313253</v>
      </c>
      <c r="F24" s="14">
        <f>C24-D24-E24</f>
        <v>2329.677796204819</v>
      </c>
    </row>
    <row r="25" spans="1:6" ht="15">
      <c r="A25" s="2" t="s">
        <v>17</v>
      </c>
      <c r="B25" s="12">
        <v>3801.47</v>
      </c>
      <c r="C25" s="10">
        <f>B25*B20</f>
        <v>2721.7151174698793</v>
      </c>
      <c r="D25" s="10">
        <f>0.069*C25</f>
        <v>187.79834310542168</v>
      </c>
      <c r="E25" s="10">
        <f>C25*0.0335</f>
        <v>91.17745643524096</v>
      </c>
      <c r="F25" s="14">
        <f>C25-D25-E25</f>
        <v>2442.7393179292167</v>
      </c>
    </row>
    <row r="26" spans="1:6" ht="15">
      <c r="A26" s="2" t="s">
        <v>19</v>
      </c>
      <c r="B26" s="12">
        <v>4458.97</v>
      </c>
      <c r="C26" s="10">
        <f>B26*B20</f>
        <v>3192.4613524096385</v>
      </c>
      <c r="D26" s="10">
        <f>0.069*C26</f>
        <v>220.27983331626507</v>
      </c>
      <c r="E26" s="10">
        <f>C26*0.0335</f>
        <v>106.9474553057229</v>
      </c>
      <c r="F26" s="14">
        <f>C26-D26-E26</f>
        <v>2865.2340637876505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1" sqref="A1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3.0039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82</v>
      </c>
      <c r="C4" s="21"/>
      <c r="D4" s="21"/>
      <c r="E4" s="21"/>
      <c r="F4" s="21"/>
    </row>
    <row r="5" spans="1:6" ht="52.5">
      <c r="A5" t="s">
        <v>0</v>
      </c>
      <c r="B5" s="30" t="s">
        <v>31</v>
      </c>
      <c r="C5" s="30" t="s">
        <v>5</v>
      </c>
      <c r="D5" s="30" t="s">
        <v>32</v>
      </c>
      <c r="E5" s="30" t="s">
        <v>83</v>
      </c>
      <c r="F5" s="30" t="s">
        <v>12</v>
      </c>
    </row>
    <row r="6" spans="1:6" ht="21">
      <c r="A6" s="28">
        <v>1957</v>
      </c>
      <c r="B6" s="20">
        <v>62</v>
      </c>
      <c r="C6" s="20">
        <v>2019</v>
      </c>
      <c r="D6" s="20">
        <v>41.5</v>
      </c>
      <c r="E6" s="37">
        <f>66.75</f>
        <v>66.75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64</v>
      </c>
      <c r="C9" s="29" t="s">
        <v>35</v>
      </c>
    </row>
    <row r="10" spans="1:5" ht="51.75">
      <c r="A10" s="17" t="s">
        <v>36</v>
      </c>
      <c r="B10" s="26">
        <v>36</v>
      </c>
      <c r="C10" s="29" t="s">
        <v>35</v>
      </c>
      <c r="D10" s="43" t="s">
        <v>87</v>
      </c>
      <c r="E10" s="43" t="s">
        <v>88</v>
      </c>
    </row>
    <row r="11" spans="1:2" ht="14.25" customHeight="1">
      <c r="A11" s="2" t="s">
        <v>11</v>
      </c>
      <c r="B11" s="1">
        <f>B10+B9-B6</f>
        <v>38</v>
      </c>
    </row>
    <row r="12" ht="12.75" hidden="1">
      <c r="B12" s="32">
        <f>B11/D6</f>
        <v>0.9156626506024096</v>
      </c>
    </row>
    <row r="13" spans="1:2" ht="12.75">
      <c r="A13" s="2" t="s">
        <v>28</v>
      </c>
      <c r="B13" s="18">
        <f>IF(B12&gt;1,1,B12)</f>
        <v>0.9156626506024096</v>
      </c>
    </row>
    <row r="14" spans="1:2" ht="12.75">
      <c r="A14" s="2" t="s">
        <v>4</v>
      </c>
      <c r="B14" s="33">
        <f>B7*B13</f>
        <v>0.6867469879518072</v>
      </c>
    </row>
    <row r="15" spans="1:2" ht="26.25">
      <c r="A15" s="2" t="s">
        <v>30</v>
      </c>
      <c r="B15">
        <f>D6-B11</f>
        <v>3.5</v>
      </c>
    </row>
    <row r="16" spans="1:2" ht="12.75">
      <c r="A16" s="2" t="s">
        <v>1</v>
      </c>
      <c r="B16" s="39">
        <f>E6-B9</f>
        <v>2.75</v>
      </c>
    </row>
    <row r="17" spans="1:2" ht="26.25" hidden="1">
      <c r="A17" s="2" t="s">
        <v>25</v>
      </c>
      <c r="B17" s="3">
        <f>IF(B15&gt;B16,B16,B15)</f>
        <v>2.75</v>
      </c>
    </row>
    <row r="18" spans="1:2" ht="26.25">
      <c r="A18" s="2" t="s">
        <v>96</v>
      </c>
      <c r="B18" s="44">
        <f>IF(B17&lt;0,0,B17)</f>
        <v>2.75</v>
      </c>
    </row>
    <row r="19" spans="1:4" ht="12.75">
      <c r="A19" s="2" t="s">
        <v>34</v>
      </c>
      <c r="B19" s="34">
        <f>B18*C19</f>
        <v>0.1375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0.5492469879518072</v>
      </c>
      <c r="C20" s="3" t="s">
        <v>14</v>
      </c>
    </row>
    <row r="21" ht="27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1673.4072756024095</v>
      </c>
      <c r="D23" s="10">
        <f>0.069*C23</f>
        <v>115.46510201656626</v>
      </c>
      <c r="E23" s="10">
        <f>C23*0.0335</f>
        <v>56.059143732680724</v>
      </c>
      <c r="F23" s="14">
        <f>C23-D23-E23</f>
        <v>1501.8830298531625</v>
      </c>
    </row>
    <row r="24" spans="1:6" ht="15">
      <c r="A24" s="2" t="s">
        <v>18</v>
      </c>
      <c r="B24" s="12">
        <v>3625.52</v>
      </c>
      <c r="C24" s="10">
        <f>B24*B20</f>
        <v>1991.305939759036</v>
      </c>
      <c r="D24" s="10">
        <f>0.069*C24</f>
        <v>137.40010984337349</v>
      </c>
      <c r="E24" s="10">
        <f>C24*0.0335</f>
        <v>66.70874898192771</v>
      </c>
      <c r="F24" s="14">
        <f>C24-D24-E24</f>
        <v>1787.1970809337347</v>
      </c>
    </row>
    <row r="25" spans="1:6" ht="15">
      <c r="A25" s="2" t="s">
        <v>17</v>
      </c>
      <c r="B25" s="12">
        <v>3801.47</v>
      </c>
      <c r="C25" s="10">
        <f>B25*B20</f>
        <v>2087.9459472891563</v>
      </c>
      <c r="D25" s="10">
        <f>0.069*C25</f>
        <v>144.0682703629518</v>
      </c>
      <c r="E25" s="10">
        <f>C25*0.0335</f>
        <v>69.94618923418673</v>
      </c>
      <c r="F25" s="14">
        <f>C25-D25-E25</f>
        <v>1873.9314876920178</v>
      </c>
    </row>
    <row r="26" spans="1:6" ht="15">
      <c r="A26" s="2" t="s">
        <v>19</v>
      </c>
      <c r="B26" s="12">
        <v>4458.97</v>
      </c>
      <c r="C26" s="10">
        <f>B26*B20</f>
        <v>2449.0758418674695</v>
      </c>
      <c r="D26" s="10">
        <f>0.069*C26</f>
        <v>168.9862330888554</v>
      </c>
      <c r="E26" s="10">
        <f>C26*0.0335</f>
        <v>82.04404070256024</v>
      </c>
      <c r="F26" s="14">
        <f>C26-D26-E26</f>
        <v>2198.0455680760538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34</v>
      </c>
    </row>
    <row r="47" spans="1:2" ht="34.5">
      <c r="A47" s="45" t="s">
        <v>99</v>
      </c>
      <c r="B47" s="46">
        <f>IF(B46*2%&gt;75%,75%,B46*2%)</f>
        <v>0.68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2071.7764</v>
      </c>
      <c r="D49" s="10">
        <f>0.069*C49</f>
        <v>142.95257160000003</v>
      </c>
      <c r="E49" s="10">
        <f>C49*0.0335</f>
        <v>69.40450940000001</v>
      </c>
      <c r="F49" s="14">
        <f>C49-D49-E49</f>
        <v>1859.419319</v>
      </c>
    </row>
    <row r="50" spans="1:6" ht="15">
      <c r="A50" s="2" t="s">
        <v>18</v>
      </c>
      <c r="B50" s="12">
        <v>3625.52</v>
      </c>
      <c r="C50" s="10">
        <f>B50*B47</f>
        <v>2465.3536000000004</v>
      </c>
      <c r="D50" s="10">
        <f>0.069*C50</f>
        <v>170.10939840000003</v>
      </c>
      <c r="E50" s="10">
        <f>C50*0.0335</f>
        <v>82.58934560000002</v>
      </c>
      <c r="F50" s="14">
        <f>C50-D50-E50</f>
        <v>2212.6548560000006</v>
      </c>
    </row>
    <row r="51" spans="1:6" ht="15">
      <c r="A51" s="2" t="s">
        <v>17</v>
      </c>
      <c r="B51" s="12">
        <v>3801.47</v>
      </c>
      <c r="C51" s="10">
        <f>B51*B47</f>
        <v>2584.9996</v>
      </c>
      <c r="D51" s="10">
        <f>0.069*C51</f>
        <v>178.36497240000003</v>
      </c>
      <c r="E51" s="10">
        <f>C51*0.0335</f>
        <v>86.59748660000001</v>
      </c>
      <c r="F51" s="14">
        <f>C51-D51-E51</f>
        <v>2320.037141</v>
      </c>
    </row>
    <row r="52" spans="1:6" ht="15">
      <c r="A52" s="2" t="s">
        <v>19</v>
      </c>
      <c r="B52" s="12">
        <v>4458.97</v>
      </c>
      <c r="C52" s="10">
        <f>B52*B47</f>
        <v>3032.0996000000005</v>
      </c>
      <c r="D52" s="10">
        <f>0.069*C52</f>
        <v>209.21487240000005</v>
      </c>
      <c r="E52" s="10">
        <f>C52*0.0335</f>
        <v>101.57533660000003</v>
      </c>
      <c r="F52" s="14">
        <f>C52-D52-E52</f>
        <v>2721.3093910000007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1" sqref="A1"/>
    </sheetView>
  </sheetViews>
  <sheetFormatPr defaultColWidth="11.421875" defaultRowHeight="12.75"/>
  <cols>
    <col min="1" max="1" width="65.7109375" style="0" customWidth="1"/>
    <col min="2" max="2" width="14.57421875" style="0" customWidth="1"/>
    <col min="3" max="3" width="17.421875" style="0" customWidth="1"/>
    <col min="4" max="4" width="17.28125" style="0" customWidth="1"/>
    <col min="5" max="5" width="18.140625" style="0" customWidth="1"/>
    <col min="6" max="6" width="15.57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24</v>
      </c>
      <c r="C4" s="21"/>
      <c r="D4" s="21"/>
      <c r="E4" s="21"/>
    </row>
    <row r="5" spans="1:6" ht="26.25">
      <c r="A5" t="s">
        <v>0</v>
      </c>
      <c r="B5" s="30" t="s">
        <v>31</v>
      </c>
      <c r="C5" s="30" t="s">
        <v>5</v>
      </c>
      <c r="D5" s="30" t="s">
        <v>32</v>
      </c>
      <c r="E5" s="30" t="s">
        <v>33</v>
      </c>
      <c r="F5" s="30" t="s">
        <v>12</v>
      </c>
    </row>
    <row r="6" spans="1:6" ht="12.75">
      <c r="A6" s="20" t="s">
        <v>6</v>
      </c>
      <c r="B6" s="20">
        <v>62</v>
      </c>
      <c r="C6" s="20" t="s">
        <v>7</v>
      </c>
      <c r="D6" s="20">
        <v>41.5</v>
      </c>
      <c r="E6" s="20">
        <v>67</v>
      </c>
      <c r="F6" s="22"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44.25" customHeight="1">
      <c r="A10" s="17" t="s">
        <v>36</v>
      </c>
      <c r="B10" s="26">
        <v>40</v>
      </c>
      <c r="C10" s="29" t="s">
        <v>35</v>
      </c>
      <c r="D10" s="43" t="s">
        <v>87</v>
      </c>
      <c r="E10" s="43" t="s">
        <v>88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5">
        <f>B11/D6</f>
        <v>0.963855421686747</v>
      </c>
    </row>
    <row r="13" spans="1:2" ht="12.75">
      <c r="A13" s="2" t="s">
        <v>28</v>
      </c>
      <c r="B13" s="18">
        <f>IF(B12&gt;1,1,B12)</f>
        <v>0.963855421686747</v>
      </c>
    </row>
    <row r="14" spans="1:2" ht="12.75">
      <c r="A14" s="2" t="s">
        <v>4</v>
      </c>
      <c r="B14" s="23">
        <f>B7*B13</f>
        <v>0.7228915662650602</v>
      </c>
    </row>
    <row r="15" spans="1:2" ht="12.75">
      <c r="A15" s="2" t="s">
        <v>30</v>
      </c>
      <c r="B15">
        <f>D6-B11</f>
        <v>1.5</v>
      </c>
    </row>
    <row r="16" spans="1:2" ht="12.75">
      <c r="A16" s="2" t="s">
        <v>1</v>
      </c>
      <c r="B16">
        <f>E6-B9</f>
        <v>5</v>
      </c>
    </row>
    <row r="17" spans="1:2" ht="12.75" hidden="1">
      <c r="A17" s="2" t="s">
        <v>25</v>
      </c>
      <c r="B17" s="3">
        <f>IF(B15&gt;B16,B16,B15)</f>
        <v>1.5</v>
      </c>
    </row>
    <row r="18" spans="1:2" ht="12.75">
      <c r="A18" s="2" t="s">
        <v>96</v>
      </c>
      <c r="B18" s="44">
        <f>IF(B17&lt;0,0,B17)</f>
        <v>1.5</v>
      </c>
    </row>
    <row r="19" spans="1:4" ht="12.75">
      <c r="A19" s="2" t="s">
        <v>34</v>
      </c>
      <c r="B19" s="34">
        <f>B18*C19</f>
        <v>0.07500000000000001</v>
      </c>
      <c r="C19" s="4">
        <f>F6</f>
        <v>0.05</v>
      </c>
      <c r="D19" t="s">
        <v>13</v>
      </c>
    </row>
    <row r="20" spans="1:3" ht="17.25">
      <c r="A20" s="19" t="s">
        <v>2</v>
      </c>
      <c r="B20" s="24">
        <f>B14-B19</f>
        <v>0.6478915662650602</v>
      </c>
      <c r="C20" s="3" t="s">
        <v>14</v>
      </c>
    </row>
    <row r="21" ht="9" customHeight="1"/>
    <row r="22" spans="2:6" ht="24" customHeight="1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1973.9506716867468</v>
      </c>
      <c r="D23" s="10">
        <f>0.069*C23</f>
        <v>136.20259634638555</v>
      </c>
      <c r="E23" s="10">
        <f>C23*0.0335</f>
        <v>66.12734750150602</v>
      </c>
      <c r="F23" s="14">
        <f>C23-D23-E23</f>
        <v>1771.6207278388554</v>
      </c>
    </row>
    <row r="24" spans="1:6" ht="15">
      <c r="A24" s="2" t="s">
        <v>18</v>
      </c>
      <c r="B24" s="12">
        <v>3625.52</v>
      </c>
      <c r="C24" s="10">
        <f>B24*B20</f>
        <v>2348.943831325301</v>
      </c>
      <c r="D24" s="10">
        <f>0.069*C24</f>
        <v>162.07712436144578</v>
      </c>
      <c r="E24" s="10">
        <f>C24*0.0335</f>
        <v>78.68961834939758</v>
      </c>
      <c r="F24" s="14">
        <f>C24-D24-E24</f>
        <v>2108.1770886144573</v>
      </c>
    </row>
    <row r="25" spans="1:6" ht="15">
      <c r="A25" s="2" t="s">
        <v>17</v>
      </c>
      <c r="B25" s="12">
        <v>3801.47</v>
      </c>
      <c r="C25" s="10">
        <f>B25*B20</f>
        <v>2462.9403524096383</v>
      </c>
      <c r="D25" s="10">
        <f>0.069*C25</f>
        <v>169.94288431626507</v>
      </c>
      <c r="E25" s="10">
        <f>C25*0.0335</f>
        <v>82.50850180572289</v>
      </c>
      <c r="F25" s="14">
        <f>C25-D25-E25</f>
        <v>2210.4889662876503</v>
      </c>
    </row>
    <row r="26" spans="1:6" ht="15">
      <c r="A26" s="2" t="s">
        <v>19</v>
      </c>
      <c r="B26" s="12">
        <v>4458.97</v>
      </c>
      <c r="C26" s="10">
        <f>B26*B20</f>
        <v>2888.9290572289156</v>
      </c>
      <c r="D26" s="10">
        <f>0.069*C26</f>
        <v>199.3361049487952</v>
      </c>
      <c r="E26" s="10">
        <f>C26*0.0335</f>
        <v>96.77912341716868</v>
      </c>
      <c r="F26" s="14">
        <f>C26-D26-E26</f>
        <v>2592.8138288629516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spans="1:2" ht="12.75" hidden="1">
      <c r="A33">
        <v>66</v>
      </c>
      <c r="B33">
        <v>34</v>
      </c>
    </row>
    <row r="34" spans="1:2" ht="12.75" hidden="1">
      <c r="A34">
        <v>67</v>
      </c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2" s="21" customFormat="1" ht="21">
      <c r="A45" s="28" t="s">
        <v>100</v>
      </c>
      <c r="B45" s="27"/>
    </row>
    <row r="46" spans="1:2" ht="12.75">
      <c r="A46" t="s">
        <v>98</v>
      </c>
      <c r="B46">
        <f>B10+60-B6</f>
        <v>38</v>
      </c>
    </row>
    <row r="47" spans="1:3" ht="34.5">
      <c r="A47" s="45" t="s">
        <v>99</v>
      </c>
      <c r="B47" s="46">
        <f>IF(B46*2%&gt;75%,75%,B46*2%)</f>
        <v>0.75</v>
      </c>
      <c r="C47" s="20" t="s">
        <v>14</v>
      </c>
    </row>
    <row r="48" spans="2:6" ht="26.25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9" sqref="B9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5" max="5" width="13.28125" style="0" customWidth="1"/>
    <col min="6" max="6" width="14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40</v>
      </c>
      <c r="C4" s="21"/>
      <c r="D4" s="21"/>
      <c r="E4" s="21"/>
    </row>
    <row r="5" spans="1:6" ht="52.5">
      <c r="A5" t="s">
        <v>0</v>
      </c>
      <c r="B5" s="30" t="s">
        <v>37</v>
      </c>
      <c r="C5" s="30" t="s">
        <v>5</v>
      </c>
      <c r="D5" s="30" t="s">
        <v>38</v>
      </c>
      <c r="E5" s="30" t="s">
        <v>39</v>
      </c>
      <c r="F5" s="30" t="s">
        <v>12</v>
      </c>
    </row>
    <row r="6" spans="1:6" ht="12.75">
      <c r="A6" s="20" t="s">
        <v>44</v>
      </c>
      <c r="B6" s="20">
        <v>60</v>
      </c>
      <c r="C6" s="20">
        <v>2011</v>
      </c>
      <c r="D6" s="20">
        <v>40.75</v>
      </c>
      <c r="E6" s="20">
        <v>62.75</v>
      </c>
      <c r="F6" s="22">
        <v>0.03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</v>
      </c>
      <c r="C9" s="29" t="s">
        <v>35</v>
      </c>
    </row>
    <row r="10" spans="1:5" ht="51.75">
      <c r="A10" s="17" t="s">
        <v>41</v>
      </c>
      <c r="B10" s="26">
        <v>39</v>
      </c>
      <c r="C10" s="29" t="s">
        <v>35</v>
      </c>
      <c r="D10" s="43" t="s">
        <v>94</v>
      </c>
      <c r="E10" s="43" t="s">
        <v>88</v>
      </c>
    </row>
    <row r="11" spans="1:2" ht="14.25" customHeight="1">
      <c r="A11" s="2" t="s">
        <v>11</v>
      </c>
      <c r="B11" s="1">
        <f>B10+B9-B6</f>
        <v>39</v>
      </c>
    </row>
    <row r="12" ht="12.75" hidden="1">
      <c r="B12" s="32">
        <f>B11/D6</f>
        <v>0.9570552147239264</v>
      </c>
    </row>
    <row r="13" spans="1:2" ht="12.75">
      <c r="A13" s="2" t="s">
        <v>28</v>
      </c>
      <c r="B13" s="18">
        <f>IF(B12&gt;1,1,B12)</f>
        <v>0.9570552147239264</v>
      </c>
    </row>
    <row r="14" spans="1:2" ht="12.75">
      <c r="A14" s="2" t="s">
        <v>4</v>
      </c>
      <c r="B14" s="33">
        <f>B7*B13</f>
        <v>0.7177914110429449</v>
      </c>
    </row>
    <row r="15" spans="1:2" ht="26.25">
      <c r="A15" s="2" t="s">
        <v>30</v>
      </c>
      <c r="B15">
        <f>D6-B11</f>
        <v>1.75</v>
      </c>
    </row>
    <row r="16" spans="1:2" ht="13.5" customHeight="1">
      <c r="A16" s="2" t="s">
        <v>1</v>
      </c>
      <c r="B16">
        <f>E6-B9</f>
        <v>2.75</v>
      </c>
    </row>
    <row r="17" spans="1:2" ht="26.25" hidden="1">
      <c r="A17" s="2" t="s">
        <v>25</v>
      </c>
      <c r="B17" s="3">
        <f>IF(B15&gt;B16,B16,B15)</f>
        <v>1.75</v>
      </c>
    </row>
    <row r="18" spans="1:2" ht="26.25">
      <c r="A18" s="2" t="s">
        <v>96</v>
      </c>
      <c r="B18" s="44">
        <f>IF(B17&lt;0,0,B17)</f>
        <v>1.75</v>
      </c>
    </row>
    <row r="19" spans="1:4" ht="12.75">
      <c r="A19" s="2" t="s">
        <v>34</v>
      </c>
      <c r="B19" s="34">
        <f>B18*C19</f>
        <v>0.0525</v>
      </c>
      <c r="C19" s="4">
        <f>F6</f>
        <v>0.03</v>
      </c>
      <c r="D19" t="s">
        <v>13</v>
      </c>
    </row>
    <row r="20" spans="1:3" ht="17.25">
      <c r="A20" s="19" t="s">
        <v>2</v>
      </c>
      <c r="B20" s="24">
        <f>B14-B19</f>
        <v>0.6652914110429449</v>
      </c>
      <c r="C20" s="3" t="s">
        <v>14</v>
      </c>
    </row>
    <row r="21" ht="26.2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2026.9633007668715</v>
      </c>
      <c r="D23" s="10">
        <f>0.069*C23</f>
        <v>139.86046775291413</v>
      </c>
      <c r="E23" s="10">
        <f>C23*0.0335</f>
        <v>67.9032705756902</v>
      </c>
      <c r="F23" s="14">
        <f>C23-D23-E23</f>
        <v>1819.1995624382673</v>
      </c>
    </row>
    <row r="24" spans="1:6" ht="15">
      <c r="A24" s="2" t="s">
        <v>18</v>
      </c>
      <c r="B24" s="12">
        <v>3625.52</v>
      </c>
      <c r="C24" s="10">
        <f>B24*B20</f>
        <v>2412.0273165644176</v>
      </c>
      <c r="D24" s="10">
        <f>0.069*C24</f>
        <v>166.42988484294483</v>
      </c>
      <c r="E24" s="10">
        <f>C24*0.0335</f>
        <v>80.802915104908</v>
      </c>
      <c r="F24" s="14">
        <f>C24-D24-E24</f>
        <v>2164.7945166165646</v>
      </c>
    </row>
    <row r="25" spans="1:6" ht="15">
      <c r="A25" s="2" t="s">
        <v>17</v>
      </c>
      <c r="B25" s="12">
        <v>3801.47</v>
      </c>
      <c r="C25" s="10">
        <f>B25*B20</f>
        <v>2529.0853403374235</v>
      </c>
      <c r="D25" s="10">
        <f>0.069*C25</f>
        <v>174.50688848328224</v>
      </c>
      <c r="E25" s="10">
        <f>C25*0.0335</f>
        <v>84.72435890130369</v>
      </c>
      <c r="F25" s="14">
        <f>C25-D25-E25</f>
        <v>2269.8540929528376</v>
      </c>
    </row>
    <row r="26" spans="1:6" ht="15">
      <c r="A26" s="2" t="s">
        <v>19</v>
      </c>
      <c r="B26" s="12">
        <v>4458.97</v>
      </c>
      <c r="C26" s="10">
        <f>B26*B20</f>
        <v>2966.51444309816</v>
      </c>
      <c r="D26" s="10">
        <f>0.069*C26</f>
        <v>204.68949657377306</v>
      </c>
      <c r="E26" s="10">
        <f>C26*0.0335</f>
        <v>99.37823384378837</v>
      </c>
      <c r="F26" s="14">
        <f>C26-D26-E26</f>
        <v>2662.446712680599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60</v>
      </c>
      <c r="B29">
        <v>30</v>
      </c>
    </row>
    <row r="30" spans="1:2" ht="12.75" hidden="1">
      <c r="A30">
        <v>61</v>
      </c>
      <c r="B30">
        <v>31</v>
      </c>
    </row>
    <row r="31" spans="1:2" ht="12.75" hidden="1">
      <c r="A31">
        <v>62</v>
      </c>
      <c r="B31">
        <v>32</v>
      </c>
    </row>
    <row r="32" spans="1:2" ht="12.75" hidden="1">
      <c r="A32">
        <v>63</v>
      </c>
      <c r="B32">
        <v>33</v>
      </c>
    </row>
    <row r="33" spans="1:2" ht="12.75" hidden="1">
      <c r="A33">
        <v>64</v>
      </c>
      <c r="B33">
        <v>34</v>
      </c>
    </row>
    <row r="34" spans="1:2" ht="12.75" hidden="1">
      <c r="A34">
        <v>65</v>
      </c>
      <c r="B34">
        <v>35</v>
      </c>
    </row>
    <row r="35" spans="1:2" ht="12.75" hidden="1">
      <c r="A35">
        <v>66</v>
      </c>
      <c r="B35">
        <v>36</v>
      </c>
    </row>
    <row r="36" spans="1:2" ht="12.75" hidden="1">
      <c r="A36">
        <v>67</v>
      </c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39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22">
      <selection activeCell="B20" sqref="B2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46</v>
      </c>
      <c r="C4" s="21"/>
      <c r="D4" s="21"/>
      <c r="E4" s="21"/>
    </row>
    <row r="5" spans="1:6" ht="52.5">
      <c r="A5" t="s">
        <v>0</v>
      </c>
      <c r="B5" s="30" t="s">
        <v>42</v>
      </c>
      <c r="C5" s="30" t="s">
        <v>5</v>
      </c>
      <c r="D5" s="30" t="s">
        <v>38</v>
      </c>
      <c r="E5" s="30" t="s">
        <v>43</v>
      </c>
      <c r="F5" s="30" t="s">
        <v>12</v>
      </c>
    </row>
    <row r="6" spans="1:6" ht="12.75">
      <c r="A6" s="20" t="s">
        <v>45</v>
      </c>
      <c r="B6" s="20">
        <v>60.33</v>
      </c>
      <c r="C6" s="20">
        <v>2011</v>
      </c>
      <c r="D6" s="20">
        <v>40.75</v>
      </c>
      <c r="E6" s="37">
        <f>1/12+63</f>
        <v>63.083333333333336</v>
      </c>
      <c r="F6" s="22">
        <v>0.03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</v>
      </c>
      <c r="C9" s="29" t="s">
        <v>35</v>
      </c>
    </row>
    <row r="10" spans="1:5" ht="51.75">
      <c r="A10" s="17" t="s">
        <v>47</v>
      </c>
      <c r="B10" s="26">
        <v>39</v>
      </c>
      <c r="C10" s="29" t="s">
        <v>35</v>
      </c>
      <c r="D10" s="43" t="s">
        <v>93</v>
      </c>
      <c r="E10" s="43" t="s">
        <v>88</v>
      </c>
    </row>
    <row r="11" spans="1:2" ht="14.25" customHeight="1">
      <c r="A11" s="2" t="s">
        <v>11</v>
      </c>
      <c r="B11" s="1">
        <f>B10+B9-B6</f>
        <v>39.67</v>
      </c>
    </row>
    <row r="12" ht="12.75" hidden="1">
      <c r="B12" s="32">
        <f>B11/D6</f>
        <v>0.9734969325153374</v>
      </c>
    </row>
    <row r="13" spans="1:2" ht="12.75">
      <c r="A13" s="2" t="s">
        <v>28</v>
      </c>
      <c r="B13" s="18">
        <f>IF(B12&gt;1,1,B12)</f>
        <v>0.9734969325153374</v>
      </c>
    </row>
    <row r="14" spans="1:2" ht="12.75">
      <c r="A14" s="2" t="s">
        <v>4</v>
      </c>
      <c r="B14" s="33">
        <f>B7*B13</f>
        <v>0.7301226993865031</v>
      </c>
    </row>
    <row r="15" spans="1:2" ht="26.25">
      <c r="A15" s="2" t="s">
        <v>30</v>
      </c>
      <c r="B15">
        <f>D6-B11</f>
        <v>1.0799999999999983</v>
      </c>
    </row>
    <row r="16" spans="1:2" ht="12.75">
      <c r="A16" s="2" t="s">
        <v>1</v>
      </c>
      <c r="B16">
        <f>E6-B9</f>
        <v>2.0833333333333357</v>
      </c>
    </row>
    <row r="17" spans="1:2" ht="26.25" hidden="1">
      <c r="A17" s="2" t="s">
        <v>25</v>
      </c>
      <c r="B17" s="3">
        <f>IF(B15&gt;B16,B16,B15)</f>
        <v>1.0799999999999983</v>
      </c>
    </row>
    <row r="18" spans="1:2" ht="26.25">
      <c r="A18" s="2" t="s">
        <v>96</v>
      </c>
      <c r="B18" s="44">
        <f>IF(B17&lt;0,0,B17)</f>
        <v>1.0799999999999983</v>
      </c>
    </row>
    <row r="19" spans="1:4" ht="12.75">
      <c r="A19" s="2" t="s">
        <v>34</v>
      </c>
      <c r="B19" s="34">
        <f>B18*C19</f>
        <v>0.03239999999999995</v>
      </c>
      <c r="C19" s="4">
        <f>F6</f>
        <v>0.03</v>
      </c>
      <c r="D19" t="s">
        <v>13</v>
      </c>
    </row>
    <row r="20" spans="1:3" ht="17.25">
      <c r="A20" s="19" t="s">
        <v>2</v>
      </c>
      <c r="B20" s="24">
        <f>B14-B19</f>
        <v>0.6977226993865031</v>
      </c>
      <c r="C20" s="3" t="s">
        <v>14</v>
      </c>
    </row>
    <row r="21" ht="30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2125.7726799018405</v>
      </c>
      <c r="D23" s="10">
        <f>0.069*C23</f>
        <v>146.678314913227</v>
      </c>
      <c r="E23" s="10">
        <f>C23*0.0335</f>
        <v>71.21338477671166</v>
      </c>
      <c r="F23" s="14">
        <f>C23-D23-E23</f>
        <v>1907.880980211902</v>
      </c>
    </row>
    <row r="24" spans="1:6" ht="15">
      <c r="A24" s="2" t="s">
        <v>18</v>
      </c>
      <c r="B24" s="12">
        <v>3625.52</v>
      </c>
      <c r="C24" s="10">
        <f>B24*B20</f>
        <v>2529.6076010797547</v>
      </c>
      <c r="D24" s="10">
        <f>0.069*C24</f>
        <v>174.54292447450308</v>
      </c>
      <c r="E24" s="10">
        <f>C24*0.0335</f>
        <v>84.74185463617178</v>
      </c>
      <c r="F24" s="14">
        <f>C24-D24-E24</f>
        <v>2270.3228219690795</v>
      </c>
    </row>
    <row r="25" spans="1:6" ht="15">
      <c r="A25" s="2" t="s">
        <v>17</v>
      </c>
      <c r="B25" s="12">
        <v>3801.47</v>
      </c>
      <c r="C25" s="10">
        <f>B25*B20</f>
        <v>2652.37191003681</v>
      </c>
      <c r="D25" s="10">
        <f>0.069*C25</f>
        <v>183.0136617925399</v>
      </c>
      <c r="E25" s="10">
        <f>C25*0.0335</f>
        <v>88.85445898623314</v>
      </c>
      <c r="F25" s="14">
        <f>C25-D25-E25</f>
        <v>2380.5037892580367</v>
      </c>
    </row>
    <row r="26" spans="1:6" ht="15">
      <c r="A26" s="2" t="s">
        <v>19</v>
      </c>
      <c r="B26" s="12">
        <v>4458.97</v>
      </c>
      <c r="C26" s="10">
        <f>B26*B20</f>
        <v>3111.124584883436</v>
      </c>
      <c r="D26" s="10">
        <f>0.069*C26</f>
        <v>214.6675963569571</v>
      </c>
      <c r="E26" s="10">
        <f>C26*0.0335</f>
        <v>104.22267359359512</v>
      </c>
      <c r="F26" s="14">
        <f>C26-D26-E26</f>
        <v>2792.234314932884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60.33</v>
      </c>
      <c r="B29">
        <v>30</v>
      </c>
    </row>
    <row r="30" spans="1:2" ht="12.75" hidden="1">
      <c r="A30">
        <v>61</v>
      </c>
      <c r="B30">
        <v>31</v>
      </c>
    </row>
    <row r="31" spans="1:2" ht="12.75" hidden="1">
      <c r="A31">
        <v>62</v>
      </c>
      <c r="B31">
        <v>32</v>
      </c>
    </row>
    <row r="32" spans="1:2" ht="12.75" hidden="1">
      <c r="A32">
        <v>63</v>
      </c>
      <c r="B32">
        <v>33</v>
      </c>
    </row>
    <row r="33" spans="1:2" ht="12.75" hidden="1">
      <c r="A33">
        <v>64</v>
      </c>
      <c r="B33">
        <v>34</v>
      </c>
    </row>
    <row r="34" spans="1:2" ht="12.75" hidden="1">
      <c r="A34">
        <v>65</v>
      </c>
      <c r="B34">
        <v>35</v>
      </c>
    </row>
    <row r="35" spans="1:2" ht="12.75" hidden="1">
      <c r="A35">
        <v>66</v>
      </c>
      <c r="B35">
        <v>36</v>
      </c>
    </row>
    <row r="36" spans="1:2" ht="12.75" hidden="1">
      <c r="A36">
        <v>67</v>
      </c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38.67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$A$29:$A$36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6">
      <selection activeCell="B10" sqref="B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48</v>
      </c>
      <c r="C4" s="21"/>
      <c r="D4" s="21"/>
      <c r="E4" s="21"/>
      <c r="F4" s="21"/>
    </row>
    <row r="5" spans="1:6" ht="52.5">
      <c r="A5" t="s">
        <v>0</v>
      </c>
      <c r="B5" s="30" t="s">
        <v>42</v>
      </c>
      <c r="C5" s="30" t="s">
        <v>5</v>
      </c>
      <c r="D5" s="30" t="s">
        <v>54</v>
      </c>
      <c r="E5" s="30" t="s">
        <v>49</v>
      </c>
      <c r="F5" s="30" t="s">
        <v>12</v>
      </c>
    </row>
    <row r="6" spans="1:6" ht="12.75">
      <c r="A6" s="20" t="s">
        <v>50</v>
      </c>
      <c r="B6" s="20">
        <v>60.33</v>
      </c>
      <c r="C6" s="20">
        <v>2012</v>
      </c>
      <c r="D6" s="20">
        <v>41</v>
      </c>
      <c r="E6" s="37">
        <v>63.33</v>
      </c>
      <c r="F6" s="38">
        <f>0.875*4%</f>
        <v>0.035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60.33</v>
      </c>
      <c r="C9" s="29" t="s">
        <v>35</v>
      </c>
    </row>
    <row r="10" spans="1:5" ht="51.75">
      <c r="A10" s="17" t="s">
        <v>47</v>
      </c>
      <c r="B10" s="26">
        <v>32</v>
      </c>
      <c r="C10" s="29" t="s">
        <v>35</v>
      </c>
      <c r="D10" s="43" t="s">
        <v>93</v>
      </c>
      <c r="E10" s="43" t="s">
        <v>88</v>
      </c>
    </row>
    <row r="11" spans="1:2" ht="14.25" customHeight="1">
      <c r="A11" s="2" t="s">
        <v>11</v>
      </c>
      <c r="B11" s="1">
        <f>B10+B9-B6</f>
        <v>32</v>
      </c>
    </row>
    <row r="12" ht="12.75" hidden="1">
      <c r="B12" s="32">
        <f>B11/D6</f>
        <v>0.7804878048780488</v>
      </c>
    </row>
    <row r="13" spans="1:2" ht="12.75">
      <c r="A13" s="2" t="s">
        <v>28</v>
      </c>
      <c r="B13" s="18">
        <f>IF(B12&gt;1,1,B12)</f>
        <v>0.7804878048780488</v>
      </c>
    </row>
    <row r="14" spans="1:2" ht="12.75">
      <c r="A14" s="2" t="s">
        <v>4</v>
      </c>
      <c r="B14" s="33">
        <f>B7*B13</f>
        <v>0.5853658536585367</v>
      </c>
    </row>
    <row r="15" spans="1:2" ht="26.25">
      <c r="A15" s="2" t="s">
        <v>30</v>
      </c>
      <c r="B15">
        <f>D6-B11</f>
        <v>9</v>
      </c>
    </row>
    <row r="16" spans="1:2" ht="12.75">
      <c r="A16" s="2" t="s">
        <v>1</v>
      </c>
      <c r="B16">
        <f>E6-B9</f>
        <v>3</v>
      </c>
    </row>
    <row r="17" spans="1:2" ht="26.25" hidden="1">
      <c r="A17" s="2" t="s">
        <v>25</v>
      </c>
      <c r="B17" s="3">
        <f>IF(B15&gt;B16,B16,B15)</f>
        <v>3</v>
      </c>
    </row>
    <row r="18" spans="1:2" ht="26.25">
      <c r="A18" s="2" t="s">
        <v>96</v>
      </c>
      <c r="B18" s="44">
        <f>IF(B17&lt;0,0,B17)</f>
        <v>3</v>
      </c>
    </row>
    <row r="19" spans="1:4" ht="12.75">
      <c r="A19" s="2" t="s">
        <v>34</v>
      </c>
      <c r="B19" s="34">
        <f>B18*C19</f>
        <v>0.10500000000000001</v>
      </c>
      <c r="C19" s="13">
        <f>F6</f>
        <v>0.035</v>
      </c>
      <c r="D19" t="s">
        <v>13</v>
      </c>
    </row>
    <row r="20" spans="1:3" ht="17.25">
      <c r="A20" s="19" t="s">
        <v>2</v>
      </c>
      <c r="B20" s="24">
        <f>B14-B19</f>
        <v>0.4803658536585367</v>
      </c>
      <c r="C20" s="3" t="s">
        <v>14</v>
      </c>
    </row>
    <row r="21" ht="27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1463.5450573170735</v>
      </c>
      <c r="D23" s="10">
        <f>0.069*C23</f>
        <v>100.98460895487808</v>
      </c>
      <c r="E23" s="10">
        <f>C23*0.0335</f>
        <v>49.028759420121965</v>
      </c>
      <c r="F23" s="14">
        <f>C23-D23-E23</f>
        <v>1313.5316889420735</v>
      </c>
    </row>
    <row r="24" spans="1:6" ht="15">
      <c r="A24" s="2" t="s">
        <v>18</v>
      </c>
      <c r="B24" s="12">
        <v>3625.52</v>
      </c>
      <c r="C24" s="10">
        <f>B24*B20</f>
        <v>1741.5760097560978</v>
      </c>
      <c r="D24" s="10">
        <f>0.069*C24</f>
        <v>120.16874467317076</v>
      </c>
      <c r="E24" s="10">
        <f>C24*0.0335</f>
        <v>58.34279632682928</v>
      </c>
      <c r="F24" s="14">
        <f>C24-D24-E24</f>
        <v>1563.0644687560978</v>
      </c>
    </row>
    <row r="25" spans="1:6" ht="15">
      <c r="A25" s="2" t="s">
        <v>17</v>
      </c>
      <c r="B25" s="12">
        <v>3801.47</v>
      </c>
      <c r="C25" s="10">
        <f>B25*B20</f>
        <v>1826.0963817073173</v>
      </c>
      <c r="D25" s="10">
        <f>0.069*C25</f>
        <v>126.0006503378049</v>
      </c>
      <c r="E25" s="10">
        <f>C25*0.0335</f>
        <v>61.17422878719513</v>
      </c>
      <c r="F25" s="14">
        <f>C25-D25-E25</f>
        <v>1638.9215025823173</v>
      </c>
    </row>
    <row r="26" spans="1:6" ht="15">
      <c r="A26" s="2" t="s">
        <v>19</v>
      </c>
      <c r="B26" s="12">
        <v>4458.97</v>
      </c>
      <c r="C26" s="10">
        <f>B26*B20</f>
        <v>2141.9369304878055</v>
      </c>
      <c r="D26" s="10">
        <f>0.069*C26</f>
        <v>147.7936482036586</v>
      </c>
      <c r="E26" s="10">
        <f>C26*0.0335</f>
        <v>71.7548871713415</v>
      </c>
      <c r="F26" s="14">
        <f>C26-D26-E26</f>
        <v>1922.3883951128053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60.33</v>
      </c>
      <c r="B29">
        <v>30</v>
      </c>
    </row>
    <row r="30" spans="1:2" ht="12.75" hidden="1">
      <c r="A30">
        <v>61</v>
      </c>
      <c r="B30">
        <v>31</v>
      </c>
    </row>
    <row r="31" spans="1:2" ht="12.75" hidden="1">
      <c r="A31">
        <v>62</v>
      </c>
      <c r="B31">
        <v>32</v>
      </c>
    </row>
    <row r="32" spans="1:2" ht="12.75" hidden="1">
      <c r="A32">
        <v>63</v>
      </c>
      <c r="B32">
        <v>33</v>
      </c>
    </row>
    <row r="33" spans="1:2" ht="12.75" hidden="1">
      <c r="A33">
        <v>64</v>
      </c>
      <c r="B33">
        <v>34</v>
      </c>
    </row>
    <row r="34" spans="1:2" ht="12.75" hidden="1">
      <c r="A34">
        <v>65</v>
      </c>
      <c r="B34">
        <v>35</v>
      </c>
    </row>
    <row r="35" spans="1:2" ht="12.75" hidden="1">
      <c r="A35">
        <v>66</v>
      </c>
      <c r="B35">
        <v>36</v>
      </c>
    </row>
    <row r="36" spans="1:2" ht="12.75" hidden="1">
      <c r="A36">
        <v>67</v>
      </c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31.67</v>
      </c>
    </row>
    <row r="47" spans="1:2" ht="34.5">
      <c r="A47" s="45" t="s">
        <v>99</v>
      </c>
      <c r="B47" s="46">
        <f>IF(B46*2%&gt;75%,75%,B46*2%)</f>
        <v>0.6334000000000001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1929.7987820000003</v>
      </c>
      <c r="D49" s="10">
        <f>0.069*C49</f>
        <v>133.15611595800004</v>
      </c>
      <c r="E49" s="10">
        <f>C49*0.0335</f>
        <v>64.64825919700002</v>
      </c>
      <c r="F49" s="14">
        <f>C49-D49-E49</f>
        <v>1731.9944068450002</v>
      </c>
    </row>
    <row r="50" spans="1:6" ht="15">
      <c r="A50" s="2" t="s">
        <v>18</v>
      </c>
      <c r="B50" s="12">
        <v>3625.52</v>
      </c>
      <c r="C50" s="10">
        <f>B50*B47</f>
        <v>2296.4043680000004</v>
      </c>
      <c r="D50" s="10">
        <f>0.069*C50</f>
        <v>158.45190139200005</v>
      </c>
      <c r="E50" s="10">
        <f>C50*0.0335</f>
        <v>76.92954632800001</v>
      </c>
      <c r="F50" s="14">
        <f>C50-D50-E50</f>
        <v>2061.0229202800006</v>
      </c>
    </row>
    <row r="51" spans="1:6" ht="15">
      <c r="A51" s="2" t="s">
        <v>17</v>
      </c>
      <c r="B51" s="12">
        <v>3801.47</v>
      </c>
      <c r="C51" s="10">
        <f>B51*B47</f>
        <v>2407.851098</v>
      </c>
      <c r="D51" s="10">
        <f>0.069*C51</f>
        <v>166.14172576200002</v>
      </c>
      <c r="E51" s="10">
        <f>C51*0.0335</f>
        <v>80.663011783</v>
      </c>
      <c r="F51" s="14">
        <f>C51-D51-E51</f>
        <v>2161.046360455</v>
      </c>
    </row>
    <row r="52" spans="1:6" ht="15">
      <c r="A52" s="2" t="s">
        <v>19</v>
      </c>
      <c r="B52" s="12">
        <v>4458.97</v>
      </c>
      <c r="C52" s="10">
        <f>B52*B47</f>
        <v>2824.3115980000007</v>
      </c>
      <c r="D52" s="10">
        <f>0.069*C52</f>
        <v>194.87750026200007</v>
      </c>
      <c r="E52" s="10">
        <f>C52*0.0335</f>
        <v>94.61443853300003</v>
      </c>
      <c r="F52" s="14">
        <f>C52-D52-E52</f>
        <v>2534.819659205001</v>
      </c>
    </row>
  </sheetData>
  <sheetProtection password="D8FB" sheet="1" objects="1" scenarios="1"/>
  <dataValidations count="2">
    <dataValidation type="list" allowBlank="1" showInputMessage="1" showErrorMessage="1" sqref="B9">
      <formula1>$A$29:$A$36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1">
      <selection activeCell="B10" sqref="B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14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51</v>
      </c>
      <c r="C4" s="21"/>
      <c r="D4" s="21"/>
      <c r="E4" s="21"/>
      <c r="F4" s="21"/>
    </row>
    <row r="5" spans="1:6" ht="52.5">
      <c r="A5" t="s">
        <v>0</v>
      </c>
      <c r="B5" s="30" t="s">
        <v>53</v>
      </c>
      <c r="C5" s="30" t="s">
        <v>5</v>
      </c>
      <c r="D5" s="30" t="s">
        <v>54</v>
      </c>
      <c r="E5" s="30" t="s">
        <v>55</v>
      </c>
      <c r="F5" s="30" t="s">
        <v>12</v>
      </c>
    </row>
    <row r="6" spans="1:6" ht="12.75">
      <c r="A6" s="20" t="s">
        <v>52</v>
      </c>
      <c r="B6" s="20">
        <v>60.66</v>
      </c>
      <c r="C6" s="20">
        <v>2012</v>
      </c>
      <c r="D6" s="20">
        <v>41</v>
      </c>
      <c r="E6" s="37">
        <v>63.66</v>
      </c>
      <c r="F6" s="38">
        <f>0.875*4%</f>
        <v>0.035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60.66</v>
      </c>
      <c r="C9" s="29" t="s">
        <v>35</v>
      </c>
    </row>
    <row r="10" spans="1:5" ht="51.75">
      <c r="A10" s="17" t="s">
        <v>56</v>
      </c>
      <c r="B10" s="26">
        <v>39</v>
      </c>
      <c r="C10" s="29" t="s">
        <v>35</v>
      </c>
      <c r="D10" s="43" t="s">
        <v>92</v>
      </c>
      <c r="E10" s="43" t="s">
        <v>88</v>
      </c>
    </row>
    <row r="11" spans="1:2" ht="14.25" customHeight="1">
      <c r="A11" s="2" t="s">
        <v>11</v>
      </c>
      <c r="B11" s="1">
        <f>B10+B9-B6</f>
        <v>39</v>
      </c>
    </row>
    <row r="12" ht="12.75" hidden="1">
      <c r="B12" s="32">
        <f>B11/D6</f>
        <v>0.9512195121951219</v>
      </c>
    </row>
    <row r="13" spans="1:2" ht="12.75">
      <c r="A13" s="2" t="s">
        <v>28</v>
      </c>
      <c r="B13" s="18">
        <f>IF(B12&gt;1,1,B12)</f>
        <v>0.9512195121951219</v>
      </c>
    </row>
    <row r="14" spans="1:2" ht="12.75">
      <c r="A14" s="2" t="s">
        <v>4</v>
      </c>
      <c r="B14" s="33">
        <f>B7*B13</f>
        <v>0.7134146341463414</v>
      </c>
    </row>
    <row r="15" spans="1:2" ht="26.25">
      <c r="A15" s="2" t="s">
        <v>30</v>
      </c>
      <c r="B15">
        <f>D6-B11</f>
        <v>2</v>
      </c>
    </row>
    <row r="16" spans="1:2" ht="12.75">
      <c r="A16" s="2" t="s">
        <v>1</v>
      </c>
      <c r="B16">
        <f>E6-B9</f>
        <v>3</v>
      </c>
    </row>
    <row r="17" spans="1:2" ht="26.25" hidden="1">
      <c r="A17" s="2" t="s">
        <v>25</v>
      </c>
      <c r="B17" s="3">
        <f>IF(B15&gt;B16,B16,B15)</f>
        <v>2</v>
      </c>
    </row>
    <row r="18" spans="1:2" ht="26.25">
      <c r="A18" s="2" t="s">
        <v>96</v>
      </c>
      <c r="B18" s="44">
        <f>IF(B17&lt;0,0,B17)</f>
        <v>2</v>
      </c>
    </row>
    <row r="19" spans="1:4" ht="12.75">
      <c r="A19" s="2" t="s">
        <v>34</v>
      </c>
      <c r="B19" s="34">
        <f>B18*C19</f>
        <v>0.07</v>
      </c>
      <c r="C19" s="13">
        <f>F6</f>
        <v>0.035</v>
      </c>
      <c r="D19" t="s">
        <v>13</v>
      </c>
    </row>
    <row r="20" spans="1:3" ht="17.25">
      <c r="A20" s="19" t="s">
        <v>2</v>
      </c>
      <c r="B20" s="24">
        <f>B14-B19</f>
        <v>0.6434146341463414</v>
      </c>
      <c r="C20" s="3" t="s">
        <v>14</v>
      </c>
    </row>
    <row r="21" ht="24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1960.3106682926827</v>
      </c>
      <c r="D23" s="10">
        <f>0.069*C23</f>
        <v>135.26143611219513</v>
      </c>
      <c r="E23" s="10">
        <f>C23*0.0335</f>
        <v>65.67040738780487</v>
      </c>
      <c r="F23" s="14">
        <f>C23-D23-E23</f>
        <v>1759.3788247926827</v>
      </c>
    </row>
    <row r="24" spans="1:6" ht="15">
      <c r="A24" s="2" t="s">
        <v>18</v>
      </c>
      <c r="B24" s="12">
        <v>3625.52</v>
      </c>
      <c r="C24" s="10">
        <f>B24*B20</f>
        <v>2332.7126243902435</v>
      </c>
      <c r="D24" s="10">
        <f>0.069*C24</f>
        <v>160.9571710829268</v>
      </c>
      <c r="E24" s="10">
        <f>C24*0.0335</f>
        <v>78.14587291707316</v>
      </c>
      <c r="F24" s="14">
        <f>C24-D24-E24</f>
        <v>2093.6095803902435</v>
      </c>
    </row>
    <row r="25" spans="1:6" ht="15">
      <c r="A25" s="2" t="s">
        <v>17</v>
      </c>
      <c r="B25" s="12">
        <v>3801.47</v>
      </c>
      <c r="C25" s="10">
        <f>B25*B20</f>
        <v>2445.9214292682923</v>
      </c>
      <c r="D25" s="10">
        <f>0.069*C25</f>
        <v>168.76857861951217</v>
      </c>
      <c r="E25" s="10">
        <f>C25*0.0335</f>
        <v>81.9383678804878</v>
      </c>
      <c r="F25" s="14">
        <f>C25-D25-E25</f>
        <v>2195.2144827682923</v>
      </c>
    </row>
    <row r="26" spans="1:6" ht="15">
      <c r="A26" s="2" t="s">
        <v>19</v>
      </c>
      <c r="B26" s="12">
        <v>4458.97</v>
      </c>
      <c r="C26" s="10">
        <f>B26*B20</f>
        <v>2868.966551219512</v>
      </c>
      <c r="D26" s="10">
        <f>0.069*C26</f>
        <v>197.95869203414634</v>
      </c>
      <c r="E26" s="10">
        <f>C26*0.0335</f>
        <v>96.11037946585365</v>
      </c>
      <c r="F26" s="14">
        <f>C26-D26-E26</f>
        <v>2574.897479719512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>
      <c r="A29">
        <v>60.66</v>
      </c>
      <c r="B29">
        <v>30</v>
      </c>
    </row>
    <row r="30" spans="1:2" ht="12.75">
      <c r="A30">
        <v>61</v>
      </c>
      <c r="B30">
        <v>31</v>
      </c>
    </row>
    <row r="31" spans="1:2" ht="12.75">
      <c r="A31">
        <v>62</v>
      </c>
      <c r="B31">
        <v>32</v>
      </c>
    </row>
    <row r="32" spans="1:2" ht="12.75">
      <c r="A32">
        <v>63</v>
      </c>
      <c r="B32">
        <v>33</v>
      </c>
    </row>
    <row r="33" spans="1:2" ht="12.75">
      <c r="A33">
        <v>64</v>
      </c>
      <c r="B33">
        <v>34</v>
      </c>
    </row>
    <row r="34" spans="1:2" ht="12.75">
      <c r="A34">
        <v>65</v>
      </c>
      <c r="B34">
        <v>35</v>
      </c>
    </row>
    <row r="35" spans="1:2" ht="12.75">
      <c r="A35">
        <v>66</v>
      </c>
      <c r="B35">
        <v>36</v>
      </c>
    </row>
    <row r="36" spans="1:2" ht="12.75">
      <c r="A36">
        <v>67</v>
      </c>
      <c r="B36">
        <v>37</v>
      </c>
    </row>
    <row r="37" ht="12.75">
      <c r="B37">
        <v>38</v>
      </c>
    </row>
    <row r="38" ht="12.75">
      <c r="B38">
        <v>39</v>
      </c>
    </row>
    <row r="39" ht="12.75">
      <c r="B39">
        <v>40</v>
      </c>
    </row>
    <row r="40" ht="12.75">
      <c r="B40">
        <v>41</v>
      </c>
    </row>
    <row r="41" ht="12.75">
      <c r="B41">
        <v>42</v>
      </c>
    </row>
    <row r="42" ht="12.75">
      <c r="B42">
        <v>43</v>
      </c>
    </row>
    <row r="43" ht="12.75">
      <c r="B43">
        <v>44</v>
      </c>
    </row>
    <row r="44" ht="12.75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38.34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$A$29:$A$36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13" sqref="B13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4.14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57</v>
      </c>
      <c r="C4" s="21"/>
      <c r="D4" s="21"/>
      <c r="E4" s="21"/>
      <c r="F4" s="21"/>
    </row>
    <row r="5" spans="1:6" ht="52.5">
      <c r="A5" t="s">
        <v>0</v>
      </c>
      <c r="B5" s="30" t="s">
        <v>53</v>
      </c>
      <c r="C5" s="30" t="s">
        <v>5</v>
      </c>
      <c r="D5" s="30" t="s">
        <v>54</v>
      </c>
      <c r="E5" s="30" t="s">
        <v>59</v>
      </c>
      <c r="F5" s="30" t="s">
        <v>12</v>
      </c>
    </row>
    <row r="6" spans="1:6" ht="12.75">
      <c r="A6" s="20" t="s">
        <v>58</v>
      </c>
      <c r="B6" s="20">
        <v>60.66</v>
      </c>
      <c r="C6" s="20">
        <v>2013</v>
      </c>
      <c r="D6" s="20">
        <v>41</v>
      </c>
      <c r="E6" s="37">
        <f>63+11/12</f>
        <v>63.916666666666664</v>
      </c>
      <c r="F6" s="38">
        <f>4%</f>
        <v>0.04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60.66</v>
      </c>
      <c r="C9" s="29" t="s">
        <v>35</v>
      </c>
    </row>
    <row r="10" spans="1:5" ht="51.75">
      <c r="A10" s="17" t="s">
        <v>56</v>
      </c>
      <c r="B10" s="26">
        <v>40</v>
      </c>
      <c r="C10" s="29" t="s">
        <v>35</v>
      </c>
      <c r="D10" s="43" t="s">
        <v>92</v>
      </c>
      <c r="E10" s="43" t="s">
        <v>88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32">
        <f>B11/D6</f>
        <v>0.975609756097561</v>
      </c>
    </row>
    <row r="13" spans="1:2" ht="12.75">
      <c r="A13" s="2" t="s">
        <v>28</v>
      </c>
      <c r="B13" s="18">
        <f>IF(B12&gt;1,1,B12)</f>
        <v>0.975609756097561</v>
      </c>
    </row>
    <row r="14" spans="1:2" ht="12.75">
      <c r="A14" s="2" t="s">
        <v>4</v>
      </c>
      <c r="B14" s="33">
        <f>B7*B13</f>
        <v>0.7317073170731707</v>
      </c>
    </row>
    <row r="15" spans="1:2" ht="26.25">
      <c r="A15" s="2" t="s">
        <v>30</v>
      </c>
      <c r="B15">
        <f>D6-B11</f>
        <v>1</v>
      </c>
    </row>
    <row r="16" spans="1:2" ht="12.75">
      <c r="A16" s="2" t="s">
        <v>1</v>
      </c>
      <c r="B16" s="39">
        <f>E6-B9</f>
        <v>3.2566666666666677</v>
      </c>
    </row>
    <row r="17" spans="1:2" ht="26.25" hidden="1">
      <c r="A17" s="2" t="s">
        <v>25</v>
      </c>
      <c r="B17" s="3">
        <f>IF(B15&gt;B16,B16,B15)</f>
        <v>1</v>
      </c>
    </row>
    <row r="18" spans="1:2" ht="26.25">
      <c r="A18" s="2" t="s">
        <v>96</v>
      </c>
      <c r="B18" s="44">
        <f>IF(B17&lt;0,0,B17)</f>
        <v>1</v>
      </c>
    </row>
    <row r="19" spans="1:4" ht="12.75">
      <c r="A19" s="2" t="s">
        <v>34</v>
      </c>
      <c r="B19" s="34">
        <f>B18*C19</f>
        <v>0.04</v>
      </c>
      <c r="C19" s="13">
        <f>F6</f>
        <v>0.04</v>
      </c>
      <c r="D19" t="s">
        <v>13</v>
      </c>
    </row>
    <row r="20" spans="1:3" ht="17.25">
      <c r="A20" s="19" t="s">
        <v>2</v>
      </c>
      <c r="B20" s="24">
        <f>B14-B19</f>
        <v>0.6917073170731707</v>
      </c>
      <c r="C20" s="3" t="s">
        <v>14</v>
      </c>
    </row>
    <row r="21" ht="24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2107.4454341463415</v>
      </c>
      <c r="D23" s="10">
        <f>0.069*C23</f>
        <v>145.41373495609758</v>
      </c>
      <c r="E23" s="10">
        <f>C23*0.0335</f>
        <v>70.59942204390245</v>
      </c>
      <c r="F23" s="14">
        <f>C23-D23-E23</f>
        <v>1891.4322771463414</v>
      </c>
    </row>
    <row r="24" spans="1:6" ht="15">
      <c r="A24" s="2" t="s">
        <v>18</v>
      </c>
      <c r="B24" s="12">
        <v>3625.52</v>
      </c>
      <c r="C24" s="10">
        <f>B24*B20</f>
        <v>2507.798712195122</v>
      </c>
      <c r="D24" s="10">
        <f>0.069*C24</f>
        <v>173.03811114146342</v>
      </c>
      <c r="E24" s="10">
        <f>C24*0.0335</f>
        <v>84.01125685853658</v>
      </c>
      <c r="F24" s="14">
        <f>C24-D24-E24</f>
        <v>2250.749344195122</v>
      </c>
    </row>
    <row r="25" spans="1:6" ht="15">
      <c r="A25" s="2" t="s">
        <v>17</v>
      </c>
      <c r="B25" s="12">
        <v>3801.47</v>
      </c>
      <c r="C25" s="10">
        <f>B25*B20</f>
        <v>2629.504614634146</v>
      </c>
      <c r="D25" s="10">
        <f>0.069*C25</f>
        <v>181.43581840975608</v>
      </c>
      <c r="E25" s="10">
        <f>C25*0.0335</f>
        <v>88.0884045902439</v>
      </c>
      <c r="F25" s="14">
        <f>C25-D25-E25</f>
        <v>2359.980391634146</v>
      </c>
    </row>
    <row r="26" spans="1:6" ht="15">
      <c r="A26" s="2" t="s">
        <v>19</v>
      </c>
      <c r="B26" s="12">
        <v>4458.97</v>
      </c>
      <c r="C26" s="10">
        <f>B26*B20</f>
        <v>3084.302175609756</v>
      </c>
      <c r="D26" s="10">
        <f>0.069*C26</f>
        <v>212.8168501170732</v>
      </c>
      <c r="E26" s="10">
        <f>C26*0.0335</f>
        <v>103.32412288292683</v>
      </c>
      <c r="F26" s="14">
        <f>C26-D26-E26</f>
        <v>2768.161202609756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60.66</v>
      </c>
      <c r="B29">
        <v>30</v>
      </c>
    </row>
    <row r="30" spans="1:2" ht="12.75" hidden="1">
      <c r="A30">
        <v>61</v>
      </c>
      <c r="B30">
        <v>31</v>
      </c>
    </row>
    <row r="31" spans="1:2" ht="12.75" hidden="1">
      <c r="A31">
        <v>62</v>
      </c>
      <c r="B31">
        <v>32</v>
      </c>
    </row>
    <row r="32" spans="1:2" ht="12.75" hidden="1">
      <c r="A32">
        <v>63</v>
      </c>
      <c r="B32">
        <v>33</v>
      </c>
    </row>
    <row r="33" spans="1:2" ht="12.75" hidden="1">
      <c r="A33">
        <v>64</v>
      </c>
      <c r="B33">
        <v>34</v>
      </c>
    </row>
    <row r="34" spans="1:2" ht="12.75" hidden="1">
      <c r="A34">
        <v>65</v>
      </c>
      <c r="B34">
        <v>35</v>
      </c>
    </row>
    <row r="35" spans="1:2" ht="12.75" hidden="1">
      <c r="A35">
        <v>66</v>
      </c>
      <c r="B35">
        <v>36</v>
      </c>
    </row>
    <row r="36" spans="1:2" ht="12.75" hidden="1">
      <c r="A36">
        <v>67</v>
      </c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39.34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$A$29:$A$36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7">
      <selection activeCell="B10" sqref="B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60</v>
      </c>
      <c r="C4" s="21"/>
      <c r="D4" s="21"/>
      <c r="E4" s="21"/>
      <c r="F4" s="21"/>
    </row>
    <row r="5" spans="1:6" ht="52.5">
      <c r="A5" t="s">
        <v>0</v>
      </c>
      <c r="B5" s="30" t="s">
        <v>61</v>
      </c>
      <c r="C5" s="30" t="s">
        <v>5</v>
      </c>
      <c r="D5" s="30" t="s">
        <v>64</v>
      </c>
      <c r="E5" s="30" t="s">
        <v>62</v>
      </c>
      <c r="F5" s="30" t="s">
        <v>12</v>
      </c>
    </row>
    <row r="6" spans="1:6" ht="12.75">
      <c r="A6" s="20">
        <v>1953</v>
      </c>
      <c r="B6" s="20">
        <v>61</v>
      </c>
      <c r="C6" s="20">
        <v>2014</v>
      </c>
      <c r="D6" s="20">
        <v>41.25</v>
      </c>
      <c r="E6" s="37">
        <v>64.5</v>
      </c>
      <c r="F6" s="38">
        <f>4.5%</f>
        <v>0.045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</v>
      </c>
      <c r="C9" s="29" t="s">
        <v>35</v>
      </c>
    </row>
    <row r="10" spans="1:5" ht="51.75">
      <c r="A10" s="17" t="s">
        <v>63</v>
      </c>
      <c r="B10" s="26">
        <v>36</v>
      </c>
      <c r="C10" s="29" t="s">
        <v>35</v>
      </c>
      <c r="D10" s="43" t="s">
        <v>91</v>
      </c>
      <c r="E10" s="43" t="s">
        <v>88</v>
      </c>
    </row>
    <row r="11" spans="1:2" ht="14.25" customHeight="1">
      <c r="A11" s="2" t="s">
        <v>11</v>
      </c>
      <c r="B11" s="1">
        <f>B10+B9-B6</f>
        <v>36</v>
      </c>
    </row>
    <row r="12" ht="12.75" hidden="1">
      <c r="B12" s="32">
        <f>B11/D6</f>
        <v>0.8727272727272727</v>
      </c>
    </row>
    <row r="13" spans="1:2" ht="12.75">
      <c r="A13" s="2" t="s">
        <v>28</v>
      </c>
      <c r="B13" s="18">
        <f>IF(B12&gt;1,1,B12)</f>
        <v>0.8727272727272727</v>
      </c>
    </row>
    <row r="14" spans="1:2" ht="12.75">
      <c r="A14" s="2" t="s">
        <v>4</v>
      </c>
      <c r="B14" s="33">
        <f>B7*B13</f>
        <v>0.6545454545454545</v>
      </c>
    </row>
    <row r="15" spans="1:2" ht="26.25">
      <c r="A15" s="2" t="s">
        <v>30</v>
      </c>
      <c r="B15">
        <f>D6-B11</f>
        <v>5.25</v>
      </c>
    </row>
    <row r="16" spans="1:2" ht="12.75">
      <c r="A16" s="2" t="s">
        <v>1</v>
      </c>
      <c r="B16" s="39">
        <f>E6-B9</f>
        <v>3.5</v>
      </c>
    </row>
    <row r="17" spans="1:2" ht="26.25" hidden="1">
      <c r="A17" s="2" t="s">
        <v>25</v>
      </c>
      <c r="B17" s="3">
        <f>IF(B15&gt;B16,B16,B15)</f>
        <v>3.5</v>
      </c>
    </row>
    <row r="18" spans="1:2" ht="26.25">
      <c r="A18" s="2" t="s">
        <v>96</v>
      </c>
      <c r="B18" s="44">
        <f>IF(B17&lt;0,0,B17)</f>
        <v>3.5</v>
      </c>
    </row>
    <row r="19" spans="1:4" ht="12.75">
      <c r="A19" s="2" t="s">
        <v>34</v>
      </c>
      <c r="B19" s="34">
        <f>B18*C19</f>
        <v>0.1575</v>
      </c>
      <c r="C19" s="13">
        <f>F6</f>
        <v>0.045</v>
      </c>
      <c r="D19" t="s">
        <v>13</v>
      </c>
    </row>
    <row r="20" spans="1:3" ht="17.25">
      <c r="A20" s="19" t="s">
        <v>2</v>
      </c>
      <c r="B20" s="24">
        <f>B14-B19</f>
        <v>0.49704545454545457</v>
      </c>
      <c r="C20" s="3" t="s">
        <v>14</v>
      </c>
    </row>
    <row r="21" ht="26.2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1514.3632977272728</v>
      </c>
      <c r="D23" s="10">
        <f>0.069*C23</f>
        <v>104.49106754318183</v>
      </c>
      <c r="E23" s="10">
        <f>C23*0.0335</f>
        <v>50.73117047386364</v>
      </c>
      <c r="F23" s="14">
        <f>C23-D23-E23</f>
        <v>1359.1410597102274</v>
      </c>
    </row>
    <row r="24" spans="1:6" ht="15">
      <c r="A24" s="2" t="s">
        <v>18</v>
      </c>
      <c r="B24" s="12">
        <v>3625.52</v>
      </c>
      <c r="C24" s="10">
        <f>B24*B20</f>
        <v>1802.0482363636365</v>
      </c>
      <c r="D24" s="10">
        <f>0.069*C24</f>
        <v>124.34132830909093</v>
      </c>
      <c r="E24" s="10">
        <f>C24*0.0335</f>
        <v>60.368615918181824</v>
      </c>
      <c r="F24" s="14">
        <f>C24-D24-E24</f>
        <v>1617.3382921363639</v>
      </c>
    </row>
    <row r="25" spans="1:6" ht="15">
      <c r="A25" s="2" t="s">
        <v>17</v>
      </c>
      <c r="B25" s="12">
        <v>3801.47</v>
      </c>
      <c r="C25" s="10">
        <f>B25*B20</f>
        <v>1889.503384090909</v>
      </c>
      <c r="D25" s="10">
        <f>0.069*C25</f>
        <v>130.37573350227274</v>
      </c>
      <c r="E25" s="10">
        <f>C25*0.0335</f>
        <v>63.29836336704546</v>
      </c>
      <c r="F25" s="14">
        <f>C25-D25-E25</f>
        <v>1695.8292872215907</v>
      </c>
    </row>
    <row r="26" spans="1:6" ht="15">
      <c r="A26" s="2" t="s">
        <v>19</v>
      </c>
      <c r="B26" s="12">
        <v>4458.97</v>
      </c>
      <c r="C26" s="10">
        <f>B26*B20</f>
        <v>2216.3107704545455</v>
      </c>
      <c r="D26" s="10">
        <f>0.069*C26</f>
        <v>152.92544316136366</v>
      </c>
      <c r="E26" s="10">
        <f>C26*0.0335</f>
        <v>74.24641081022727</v>
      </c>
      <c r="F26" s="14">
        <f>C26-D26-E26</f>
        <v>1989.1389164829548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61</v>
      </c>
      <c r="B29">
        <v>30</v>
      </c>
    </row>
    <row r="30" spans="1:2" ht="12.75" hidden="1">
      <c r="A30">
        <v>62</v>
      </c>
      <c r="B30">
        <v>31</v>
      </c>
    </row>
    <row r="31" spans="1:2" ht="12.75" hidden="1">
      <c r="A31">
        <v>63</v>
      </c>
      <c r="B31">
        <v>32</v>
      </c>
    </row>
    <row r="32" spans="1:2" ht="12.75" hidden="1">
      <c r="A32">
        <v>64</v>
      </c>
      <c r="B32">
        <v>33</v>
      </c>
    </row>
    <row r="33" spans="1:2" ht="12.75" hidden="1">
      <c r="A33">
        <v>65</v>
      </c>
      <c r="B33">
        <v>34</v>
      </c>
    </row>
    <row r="34" spans="1:2" ht="12.75" hidden="1">
      <c r="A34">
        <v>66</v>
      </c>
      <c r="B34">
        <v>35</v>
      </c>
    </row>
    <row r="35" spans="1:2" ht="12.75" hidden="1">
      <c r="A35">
        <v>67</v>
      </c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35</v>
      </c>
    </row>
    <row r="47" spans="1:2" ht="34.5">
      <c r="A47" s="45" t="s">
        <v>99</v>
      </c>
      <c r="B47" s="46">
        <f>IF(B46*2%&gt;75%,75%,B46*2%)</f>
        <v>0.7000000000000001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2132.7110000000002</v>
      </c>
      <c r="D49" s="10">
        <f>0.069*C49</f>
        <v>147.15705900000003</v>
      </c>
      <c r="E49" s="10">
        <f>C49*0.0335</f>
        <v>71.44581850000002</v>
      </c>
      <c r="F49" s="14">
        <f>C49-D49-E49</f>
        <v>1914.1081225</v>
      </c>
    </row>
    <row r="50" spans="1:6" ht="15">
      <c r="A50" s="2" t="s">
        <v>18</v>
      </c>
      <c r="B50" s="12">
        <v>3625.52</v>
      </c>
      <c r="C50" s="10">
        <f>B50*B47</f>
        <v>2537.864</v>
      </c>
      <c r="D50" s="10">
        <f>0.069*C50</f>
        <v>175.112616</v>
      </c>
      <c r="E50" s="10">
        <f>C50*0.0335</f>
        <v>85.018444</v>
      </c>
      <c r="F50" s="14">
        <f>C50-D50-E50</f>
        <v>2277.7329400000003</v>
      </c>
    </row>
    <row r="51" spans="1:6" ht="15">
      <c r="A51" s="2" t="s">
        <v>17</v>
      </c>
      <c r="B51" s="12">
        <v>3801.47</v>
      </c>
      <c r="C51" s="10">
        <f>B51*B47</f>
        <v>2661.029</v>
      </c>
      <c r="D51" s="10">
        <f>0.069*C51</f>
        <v>183.61100100000002</v>
      </c>
      <c r="E51" s="10">
        <f>C51*0.0335</f>
        <v>89.14447150000001</v>
      </c>
      <c r="F51" s="14">
        <f>C51-D51-E51</f>
        <v>2388.2735274999995</v>
      </c>
    </row>
    <row r="52" spans="1:6" ht="15">
      <c r="A52" s="2" t="s">
        <v>19</v>
      </c>
      <c r="B52" s="12">
        <v>4458.97</v>
      </c>
      <c r="C52" s="10">
        <f>B52*B47</f>
        <v>3121.2790000000005</v>
      </c>
      <c r="D52" s="10">
        <f>0.069*C52</f>
        <v>215.36825100000004</v>
      </c>
      <c r="E52" s="10">
        <f>C52*0.0335</f>
        <v>104.56284650000002</v>
      </c>
      <c r="F52" s="14">
        <f>C52-D52-E52</f>
        <v>2801.3479025000006</v>
      </c>
    </row>
  </sheetData>
  <sheetProtection password="D8FB" sheet="1" objects="1" scenarios="1"/>
  <dataValidations count="2">
    <dataValidation type="list" allowBlank="1" showInputMessage="1" showErrorMessage="1" sqref="B9">
      <formula1>$A$29:$A$35</formula1>
    </dataValidation>
    <dataValidation type="list" allowBlank="1" showInputMessage="1" showErrorMessage="1" sqref="B10">
      <formula1>$B$28:$B$44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6">
      <selection activeCell="B9" sqref="B9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4.0039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65</v>
      </c>
      <c r="C4" s="21"/>
      <c r="D4" s="21"/>
      <c r="E4" s="21"/>
      <c r="F4" s="21"/>
    </row>
    <row r="5" spans="1:6" ht="52.5">
      <c r="A5" t="s">
        <v>0</v>
      </c>
      <c r="B5" s="30" t="s">
        <v>67</v>
      </c>
      <c r="C5" s="30" t="s">
        <v>5</v>
      </c>
      <c r="D5" s="30" t="s">
        <v>32</v>
      </c>
      <c r="E5" s="30" t="s">
        <v>68</v>
      </c>
      <c r="F5" s="30" t="s">
        <v>12</v>
      </c>
    </row>
    <row r="6" spans="1:6" ht="12.75">
      <c r="A6" s="20" t="s">
        <v>66</v>
      </c>
      <c r="B6" s="20">
        <v>61.33</v>
      </c>
      <c r="C6" s="20">
        <v>2015</v>
      </c>
      <c r="D6" s="20">
        <v>41.5</v>
      </c>
      <c r="E6" s="37">
        <f>65+1/12</f>
        <v>65.08333333333333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51.75">
      <c r="A10" s="17" t="s">
        <v>69</v>
      </c>
      <c r="B10" s="26">
        <v>40</v>
      </c>
      <c r="C10" s="29" t="s">
        <v>35</v>
      </c>
      <c r="D10" s="43" t="s">
        <v>90</v>
      </c>
      <c r="E10" s="43" t="s">
        <v>88</v>
      </c>
    </row>
    <row r="11" spans="1:2" ht="14.25" customHeight="1">
      <c r="A11" s="2" t="s">
        <v>11</v>
      </c>
      <c r="B11" s="1">
        <f>B10+B9-B6</f>
        <v>40.67</v>
      </c>
    </row>
    <row r="12" ht="12.75" hidden="1">
      <c r="B12" s="32">
        <f>B11/D6</f>
        <v>0.9800000000000001</v>
      </c>
    </row>
    <row r="13" spans="1:2" ht="12.75">
      <c r="A13" s="2" t="s">
        <v>28</v>
      </c>
      <c r="B13" s="18">
        <f>IF(B12&gt;1,1,B12)</f>
        <v>0.9800000000000001</v>
      </c>
    </row>
    <row r="14" spans="1:2" ht="12.75">
      <c r="A14" s="2" t="s">
        <v>4</v>
      </c>
      <c r="B14" s="33">
        <f>B7*B13</f>
        <v>0.7350000000000001</v>
      </c>
    </row>
    <row r="15" spans="1:2" ht="26.25">
      <c r="A15" s="2" t="s">
        <v>30</v>
      </c>
      <c r="B15">
        <f>D6-B11</f>
        <v>0.8299999999999983</v>
      </c>
    </row>
    <row r="16" spans="1:2" ht="12.75">
      <c r="A16" s="2" t="s">
        <v>1</v>
      </c>
      <c r="B16" s="39">
        <f>E6-B9</f>
        <v>3.0833333333333286</v>
      </c>
    </row>
    <row r="17" spans="1:2" ht="26.25" hidden="1">
      <c r="A17" s="2" t="s">
        <v>25</v>
      </c>
      <c r="B17" s="3">
        <f>IF(B15&gt;B16,B16,B15)</f>
        <v>0.8299999999999983</v>
      </c>
    </row>
    <row r="18" spans="1:2" ht="26.25">
      <c r="A18" s="2" t="s">
        <v>96</v>
      </c>
      <c r="B18" s="44">
        <f>IF(B17&lt;0,0,B17)</f>
        <v>0.8299999999999983</v>
      </c>
    </row>
    <row r="19" spans="1:4" ht="12.75">
      <c r="A19" s="2" t="s">
        <v>34</v>
      </c>
      <c r="B19" s="34">
        <f>B18*C19</f>
        <v>0.04149999999999992</v>
      </c>
      <c r="C19" s="13">
        <f>F6</f>
        <v>0.05</v>
      </c>
      <c r="D19" t="s">
        <v>13</v>
      </c>
    </row>
    <row r="20" spans="1:3" ht="17.25">
      <c r="A20" s="19" t="s">
        <v>2</v>
      </c>
      <c r="B20" s="24">
        <f>B14-B19</f>
        <v>0.6935000000000002</v>
      </c>
      <c r="C20" s="3" t="s">
        <v>14</v>
      </c>
    </row>
    <row r="21" ht="28.5" customHeight="1"/>
    <row r="22" spans="2:6" ht="39">
      <c r="B22" s="41" t="s">
        <v>15</v>
      </c>
      <c r="C22" s="30" t="s">
        <v>20</v>
      </c>
      <c r="D22" s="30" t="s">
        <v>22</v>
      </c>
      <c r="E22" s="42" t="s">
        <v>23</v>
      </c>
      <c r="F22" s="30" t="s">
        <v>21</v>
      </c>
    </row>
    <row r="23" spans="1:6" ht="15">
      <c r="A23" s="2" t="s">
        <v>16</v>
      </c>
      <c r="B23" s="11">
        <v>3046.73</v>
      </c>
      <c r="C23" s="10">
        <f>B23*B20</f>
        <v>2112.9072550000005</v>
      </c>
      <c r="D23" s="10">
        <f>0.069*C23</f>
        <v>145.79060059500006</v>
      </c>
      <c r="E23" s="10">
        <f>C23*0.0335</f>
        <v>70.78239304250002</v>
      </c>
      <c r="F23" s="14">
        <f>C23-D23-E23</f>
        <v>1896.3342613625005</v>
      </c>
    </row>
    <row r="24" spans="1:6" ht="15">
      <c r="A24" s="2" t="s">
        <v>18</v>
      </c>
      <c r="B24" s="12">
        <v>3625.52</v>
      </c>
      <c r="C24" s="10">
        <f>B24*B20</f>
        <v>2514.298120000001</v>
      </c>
      <c r="D24" s="10">
        <f>0.069*C24</f>
        <v>173.48657028000008</v>
      </c>
      <c r="E24" s="10">
        <f>C24*0.0335</f>
        <v>84.22898702000003</v>
      </c>
      <c r="F24" s="14">
        <f>C24-D24-E24</f>
        <v>2256.5825627000004</v>
      </c>
    </row>
    <row r="25" spans="1:6" ht="15">
      <c r="A25" s="2" t="s">
        <v>17</v>
      </c>
      <c r="B25" s="12">
        <v>3801.47</v>
      </c>
      <c r="C25" s="10">
        <f>B25*B20</f>
        <v>2636.3194450000005</v>
      </c>
      <c r="D25" s="10">
        <f>0.069*C25</f>
        <v>181.90604170500006</v>
      </c>
      <c r="E25" s="10">
        <f>C25*0.0335</f>
        <v>88.31670140750002</v>
      </c>
      <c r="F25" s="14">
        <f>C25-D25-E25</f>
        <v>2366.0967018875003</v>
      </c>
    </row>
    <row r="26" spans="1:6" ht="15">
      <c r="A26" s="2" t="s">
        <v>19</v>
      </c>
      <c r="B26" s="12">
        <v>4458.97</v>
      </c>
      <c r="C26" s="10">
        <f>B26*B20</f>
        <v>3092.295695000001</v>
      </c>
      <c r="D26" s="10">
        <f>0.069*C26</f>
        <v>213.3684029550001</v>
      </c>
      <c r="E26" s="10">
        <f>C26*0.0335</f>
        <v>103.59190578250005</v>
      </c>
      <c r="F26" s="14">
        <f>C26-D26-E26</f>
        <v>2775.3353862625013</v>
      </c>
    </row>
    <row r="27" spans="1:6" ht="15">
      <c r="A27" s="36" t="s">
        <v>86</v>
      </c>
      <c r="B27" s="12"/>
      <c r="C27" s="10"/>
      <c r="D27" s="10"/>
      <c r="E27" s="10"/>
      <c r="F27" s="35"/>
    </row>
    <row r="28" spans="1:2" ht="26.25">
      <c r="A28" s="30" t="s">
        <v>97</v>
      </c>
      <c r="B28" s="12"/>
    </row>
    <row r="29" spans="1:2" ht="12.75" hidden="1">
      <c r="A29">
        <v>61.33</v>
      </c>
      <c r="B29">
        <v>30</v>
      </c>
    </row>
    <row r="30" spans="1:2" ht="12.75" hidden="1">
      <c r="A30">
        <v>62</v>
      </c>
      <c r="B30">
        <v>31</v>
      </c>
    </row>
    <row r="31" spans="1:2" ht="12.75" hidden="1">
      <c r="A31">
        <v>63</v>
      </c>
      <c r="B31">
        <v>32</v>
      </c>
    </row>
    <row r="32" spans="1:2" ht="12.75" hidden="1">
      <c r="A32">
        <v>64</v>
      </c>
      <c r="B32">
        <v>33</v>
      </c>
    </row>
    <row r="33" spans="1:2" ht="12.75" hidden="1">
      <c r="A33">
        <v>65</v>
      </c>
      <c r="B33">
        <v>34</v>
      </c>
    </row>
    <row r="34" spans="1:2" ht="12.75" hidden="1">
      <c r="A34">
        <v>66</v>
      </c>
      <c r="B34">
        <v>35</v>
      </c>
    </row>
    <row r="35" spans="1:2" ht="12.75" hidden="1">
      <c r="A35">
        <v>67</v>
      </c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  <row r="45" spans="1:6" ht="21">
      <c r="A45" s="28" t="s">
        <v>100</v>
      </c>
      <c r="B45" s="27"/>
      <c r="C45" s="21"/>
      <c r="D45" s="21"/>
      <c r="E45" s="21"/>
      <c r="F45" s="21"/>
    </row>
    <row r="46" spans="1:2" ht="12.75">
      <c r="A46" t="s">
        <v>98</v>
      </c>
      <c r="B46">
        <f>B10+60-B6</f>
        <v>38.67</v>
      </c>
    </row>
    <row r="47" spans="1:2" ht="34.5">
      <c r="A47" s="45" t="s">
        <v>99</v>
      </c>
      <c r="B47" s="46">
        <f>IF(B46*2%&gt;75%,75%,B46*2%)</f>
        <v>0.75</v>
      </c>
    </row>
    <row r="48" spans="2:6" ht="39">
      <c r="B48" s="41" t="s">
        <v>15</v>
      </c>
      <c r="C48" s="30" t="s">
        <v>20</v>
      </c>
      <c r="D48" s="30" t="s">
        <v>22</v>
      </c>
      <c r="E48" s="42" t="s">
        <v>23</v>
      </c>
      <c r="F48" s="30" t="s">
        <v>21</v>
      </c>
    </row>
    <row r="49" spans="1:6" ht="15">
      <c r="A49" s="2" t="s">
        <v>16</v>
      </c>
      <c r="B49" s="11">
        <v>3046.73</v>
      </c>
      <c r="C49" s="10">
        <f>B49*B47</f>
        <v>2285.0475</v>
      </c>
      <c r="D49" s="10">
        <f>0.069*C49</f>
        <v>157.66827750000002</v>
      </c>
      <c r="E49" s="10">
        <f>C49*0.0335</f>
        <v>76.54909125</v>
      </c>
      <c r="F49" s="14">
        <f>C49-D49-E49</f>
        <v>2050.8301312500002</v>
      </c>
    </row>
    <row r="50" spans="1:6" ht="15">
      <c r="A50" s="2" t="s">
        <v>18</v>
      </c>
      <c r="B50" s="12">
        <v>3625.52</v>
      </c>
      <c r="C50" s="10">
        <f>B50*B47</f>
        <v>2719.14</v>
      </c>
      <c r="D50" s="10">
        <f>0.069*C50</f>
        <v>187.62066000000002</v>
      </c>
      <c r="E50" s="10">
        <f>C50*0.0335</f>
        <v>91.09119</v>
      </c>
      <c r="F50" s="14">
        <f>C50-D50-E50</f>
        <v>2440.4281499999997</v>
      </c>
    </row>
    <row r="51" spans="1:6" ht="15">
      <c r="A51" s="2" t="s">
        <v>17</v>
      </c>
      <c r="B51" s="12">
        <v>3801.47</v>
      </c>
      <c r="C51" s="10">
        <f>B51*B47</f>
        <v>2851.1025</v>
      </c>
      <c r="D51" s="10">
        <f>0.069*C51</f>
        <v>196.72607250000001</v>
      </c>
      <c r="E51" s="10">
        <f>C51*0.0335</f>
        <v>95.51193375000001</v>
      </c>
      <c r="F51" s="14">
        <f>C51-D51-E51</f>
        <v>2558.86449375</v>
      </c>
    </row>
    <row r="52" spans="1:6" ht="15">
      <c r="A52" s="2" t="s">
        <v>19</v>
      </c>
      <c r="B52" s="12">
        <v>4458.97</v>
      </c>
      <c r="C52" s="10">
        <f>B52*B47</f>
        <v>3344.2275</v>
      </c>
      <c r="D52" s="10">
        <f>0.069*C52</f>
        <v>230.7516975</v>
      </c>
      <c r="E52" s="10">
        <f>C52*0.0335</f>
        <v>112.03162125</v>
      </c>
      <c r="F52" s="14">
        <f>C52-D52-E52</f>
        <v>3001.44418125</v>
      </c>
    </row>
  </sheetData>
  <sheetProtection password="D8FB" sheet="1" objects="1" scenarios="1"/>
  <dataValidations count="2">
    <dataValidation type="list" allowBlank="1" showInputMessage="1" showErrorMessage="1" sqref="B9">
      <formula1>$A$29:$A$35</formula1>
    </dataValidation>
    <dataValidation type="list" allowBlank="1" showInputMessage="1" showErrorMessage="1" sqref="B10">
      <formula1>$B$29:$B$44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2010-09-29T10:08:54Z</dcterms:created>
  <dcterms:modified xsi:type="dcterms:W3CDTF">2010-10-03T19:08:34Z</dcterms:modified>
  <cp:category/>
  <cp:version/>
  <cp:contentType/>
  <cp:contentStatus/>
</cp:coreProperties>
</file>